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9420" windowHeight="4245" tabRatio="601" activeTab="0"/>
  </bookViews>
  <sheets>
    <sheet name="Intro" sheetId="1" r:id="rId1"/>
    <sheet name="Scoping" sheetId="2" r:id="rId2"/>
    <sheet name="Shortp" sheetId="3" r:id="rId3"/>
    <sheet name="Knowhow" sheetId="4" r:id="rId4"/>
    <sheet name="Problem" sheetId="5" r:id="rId5"/>
    <sheet name="Account" sheetId="6" r:id="rId6"/>
    <sheet name="QA" sheetId="7" r:id="rId7"/>
    <sheet name="Report1" sheetId="8" r:id="rId8"/>
    <sheet name="Report2" sheetId="9" r:id="rId9"/>
    <sheet name="Descr" sheetId="10" r:id="rId10"/>
  </sheets>
  <definedNames>
    <definedName name="Indexes">'Knowhow'!$S$4:$Y$27</definedName>
  </definedNames>
  <calcPr fullCalcOnLoad="1"/>
</workbook>
</file>

<file path=xl/comments1.xml><?xml version="1.0" encoding="utf-8"?>
<comments xmlns="http://schemas.openxmlformats.org/spreadsheetml/2006/main">
  <authors>
    <author>Supervisor</author>
    <author>Armscor</author>
  </authors>
  <commentList>
    <comment ref="B34" authorId="0">
      <text>
        <r>
          <rPr>
            <sz val="8"/>
            <rFont val="Tahoma"/>
            <family val="2"/>
          </rPr>
          <t xml:space="preserve">key
</t>
        </r>
      </text>
    </comment>
    <comment ref="F3" authorId="1">
      <text>
        <r>
          <rPr>
            <b/>
            <sz val="8"/>
            <rFont val="Tahoma"/>
            <family val="0"/>
          </rPr>
          <t>This rev introduces the scoping sheet.</t>
        </r>
        <r>
          <rPr>
            <sz val="8"/>
            <rFont val="Tahoma"/>
            <family val="0"/>
          </rPr>
          <t xml:space="preserve">
</t>
        </r>
      </text>
    </comment>
  </commentList>
</comments>
</file>

<file path=xl/comments2.xml><?xml version="1.0" encoding="utf-8"?>
<comments xmlns="http://schemas.openxmlformats.org/spreadsheetml/2006/main">
  <authors>
    <author>Supervisor</author>
  </authors>
  <commentList>
    <comment ref="U6" authorId="0">
      <text>
        <r>
          <rPr>
            <sz val="8"/>
            <rFont val="Tahoma"/>
            <family val="0"/>
          </rPr>
          <t xml:space="preserve">Exponent for computing the relation between  Accountability and problemsolving)
</t>
        </r>
      </text>
    </comment>
    <comment ref="U10" authorId="0">
      <text>
        <r>
          <rPr>
            <sz val="8"/>
            <rFont val="Tahoma"/>
            <family val="0"/>
          </rPr>
          <t xml:space="preserve">Qualificationparameter as an input to the skills parameter
</t>
        </r>
      </text>
    </comment>
    <comment ref="U14" authorId="0">
      <text>
        <r>
          <rPr>
            <sz val="8"/>
            <rFont val="Tahoma"/>
            <family val="0"/>
          </rPr>
          <t xml:space="preserve">Experience line as input to the skills parameter
</t>
        </r>
      </text>
    </comment>
    <comment ref="U18" authorId="0">
      <text>
        <r>
          <rPr>
            <sz val="8"/>
            <rFont val="Tahoma"/>
            <family val="2"/>
          </rPr>
          <t>Calculate know-how as a weighted average of the above 3 parameters</t>
        </r>
        <r>
          <rPr>
            <sz val="8"/>
            <rFont val="Tahoma"/>
            <family val="0"/>
          </rPr>
          <t xml:space="preserve">
</t>
        </r>
      </text>
    </comment>
    <comment ref="V18" authorId="0">
      <text>
        <r>
          <rPr>
            <sz val="8"/>
            <rFont val="Tahoma"/>
            <family val="2"/>
          </rPr>
          <t xml:space="preserve">Hay parameter for skills axis
</t>
        </r>
      </text>
    </comment>
    <comment ref="U22" authorId="0">
      <text>
        <r>
          <rPr>
            <sz val="8"/>
            <rFont val="Tahoma"/>
            <family val="0"/>
          </rPr>
          <t xml:space="preserve">Calculate the HR factor. With overriding factor increase with 15%, with not so important decrease with 15%
</t>
        </r>
      </text>
    </comment>
    <comment ref="U26" authorId="0">
      <text>
        <r>
          <rPr>
            <sz val="8"/>
            <rFont val="Tahoma"/>
            <family val="0"/>
          </rPr>
          <t xml:space="preserve">Take the breadth of Management  linear according to the input bar.
</t>
        </r>
      </text>
    </comment>
    <comment ref="V26" authorId="0">
      <text>
        <r>
          <rPr>
            <sz val="8"/>
            <rFont val="Tahoma"/>
            <family val="0"/>
          </rPr>
          <t xml:space="preserve">Calculate the product of Know-how, Breadth of management and the HR factor
</t>
        </r>
      </text>
    </comment>
    <comment ref="W26" authorId="0">
      <text>
        <r>
          <rPr>
            <sz val="8"/>
            <rFont val="Tahoma"/>
            <family val="0"/>
          </rPr>
          <t xml:space="preserve">Calculate Know-how points - linear scaling according to the Ln value of the product
</t>
        </r>
      </text>
    </comment>
    <comment ref="V27" authorId="0">
      <text>
        <r>
          <rPr>
            <sz val="8"/>
            <rFont val="Tahoma"/>
            <family val="0"/>
          </rPr>
          <t xml:space="preserve">Breadth of Management Hay Parameter
</t>
        </r>
      </text>
    </comment>
    <comment ref="U34" authorId="0">
      <text>
        <r>
          <rPr>
            <sz val="8"/>
            <rFont val="Tahoma"/>
            <family val="2"/>
          </rPr>
          <t>Characterise the thinking environment by getting the average of the above  2 input tables</t>
        </r>
        <r>
          <rPr>
            <sz val="8"/>
            <rFont val="Tahoma"/>
            <family val="0"/>
          </rPr>
          <t xml:space="preserve">
</t>
        </r>
      </text>
    </comment>
    <comment ref="V34" authorId="0">
      <text>
        <r>
          <rPr>
            <sz val="8"/>
            <rFont val="Tahoma"/>
            <family val="2"/>
          </rPr>
          <t xml:space="preserve">Hay parameter forfreedom to think
 axis
</t>
        </r>
      </text>
    </comment>
    <comment ref="U38" authorId="0">
      <text>
        <r>
          <rPr>
            <sz val="8"/>
            <rFont val="Tahoma"/>
            <family val="0"/>
          </rPr>
          <t xml:space="preserve">Characterise the Thinking challenge
</t>
        </r>
      </text>
    </comment>
    <comment ref="V38" authorId="0">
      <text>
        <r>
          <rPr>
            <sz val="8"/>
            <rFont val="Tahoma"/>
            <family val="2"/>
          </rPr>
          <t>Calculate the Problem solving % as a linear scaling of the product against the Ln value of the %s</t>
        </r>
        <r>
          <rPr>
            <sz val="8"/>
            <rFont val="Tahoma"/>
            <family val="0"/>
          </rPr>
          <t xml:space="preserve">
</t>
        </r>
      </text>
    </comment>
    <comment ref="W38" authorId="0">
      <text>
        <r>
          <rPr>
            <sz val="8"/>
            <rFont val="Tahoma"/>
            <family val="0"/>
          </rPr>
          <t xml:space="preserve">The points value of this %
</t>
        </r>
      </text>
    </comment>
    <comment ref="V39" authorId="0">
      <text>
        <r>
          <rPr>
            <sz val="8"/>
            <rFont val="Tahoma"/>
            <family val="0"/>
          </rPr>
          <t xml:space="preserve">Thinking Challenge Hay Parameter
</t>
        </r>
      </text>
    </comment>
    <comment ref="U42" authorId="0">
      <text>
        <r>
          <rPr>
            <sz val="8"/>
            <rFont val="Tahoma"/>
            <family val="0"/>
          </rPr>
          <t xml:space="preserve">Cross-chech % for problem solving
</t>
        </r>
      </text>
    </comment>
    <comment ref="U46" authorId="0">
      <text>
        <r>
          <rPr>
            <sz val="8"/>
            <rFont val="Tahoma"/>
            <family val="0"/>
          </rPr>
          <t xml:space="preserve">The Freedom to act parameter
</t>
        </r>
      </text>
    </comment>
    <comment ref="V46" authorId="0">
      <text>
        <r>
          <rPr>
            <sz val="8"/>
            <rFont val="Tahoma"/>
            <family val="2"/>
          </rPr>
          <t xml:space="preserve">Hay parameter Fredom to Act  axis
</t>
        </r>
      </text>
    </comment>
    <comment ref="U51" authorId="0">
      <text>
        <r>
          <rPr>
            <sz val="8"/>
            <rFont val="Tahoma"/>
            <family val="2"/>
          </rPr>
          <t>Determine the contribution of the job</t>
        </r>
        <r>
          <rPr>
            <sz val="8"/>
            <rFont val="Tahoma"/>
            <family val="0"/>
          </rPr>
          <t xml:space="preserve">
</t>
        </r>
      </text>
    </comment>
    <comment ref="V51" authorId="0">
      <text>
        <r>
          <rPr>
            <sz val="8"/>
            <rFont val="Tahoma"/>
            <family val="0"/>
          </rPr>
          <t xml:space="preserve">Indeterminate parameters
</t>
        </r>
      </text>
    </comment>
    <comment ref="V55" authorId="0">
      <text>
        <r>
          <rPr>
            <sz val="8"/>
            <rFont val="Tahoma"/>
            <family val="2"/>
          </rPr>
          <t>The Hay accountability value</t>
        </r>
        <r>
          <rPr>
            <sz val="8"/>
            <rFont val="Tahoma"/>
            <family val="0"/>
          </rPr>
          <t xml:space="preserve">
</t>
        </r>
      </text>
    </comment>
    <comment ref="W55" authorId="0">
      <text>
        <r>
          <rPr>
            <sz val="8"/>
            <rFont val="Tahoma"/>
            <family val="0"/>
          </rPr>
          <t xml:space="preserve">Project Magnitude  Hay Parameter
</t>
        </r>
      </text>
    </comment>
  </commentList>
</comments>
</file>

<file path=xl/comments3.xml><?xml version="1.0" encoding="utf-8"?>
<comments xmlns="http://schemas.openxmlformats.org/spreadsheetml/2006/main">
  <authors>
    <author>Supervisor</author>
  </authors>
  <commentList>
    <comment ref="B2" authorId="0">
      <text>
        <r>
          <rPr>
            <b/>
            <sz val="8"/>
            <rFont val="Tahoma"/>
            <family val="0"/>
          </rPr>
          <t xml:space="preserve">Supervisor: </t>
        </r>
        <r>
          <rPr>
            <sz val="8"/>
            <rFont val="Tahoma"/>
            <family val="2"/>
          </rPr>
          <t>The short profile  shows the relationship between Problem Solving and accountability. In A-profiles the Accountability factor dominates. In P profiles the problem solving dominates.</t>
        </r>
        <r>
          <rPr>
            <sz val="8"/>
            <rFont val="Tahoma"/>
            <family val="0"/>
          </rPr>
          <t xml:space="preserve">
</t>
        </r>
      </text>
    </comment>
  </commentList>
</comments>
</file>

<file path=xl/comments4.xml><?xml version="1.0" encoding="utf-8"?>
<comments xmlns="http://schemas.openxmlformats.org/spreadsheetml/2006/main">
  <authors>
    <author>Supervisor</author>
  </authors>
  <commentList>
    <comment ref="E5" authorId="0">
      <text>
        <r>
          <rPr>
            <sz val="8"/>
            <rFont val="Tahoma"/>
            <family val="0"/>
          </rPr>
          <t xml:space="preserve">Simple automated manual tasks. Work is learned by continuous repetition. The individual will have the ability to follow simple instructions. Physical is more important than past experience. The job can be learned in a matter of hours. Employ hands and feet. Endurance may be important. Oral instruction.
</t>
        </r>
      </text>
    </comment>
    <comment ref="E6" authorId="0">
      <text>
        <r>
          <rPr>
            <sz val="8"/>
            <rFont val="Tahoma"/>
            <family val="2"/>
          </rPr>
          <t xml:space="preserve">Perform several basic, simple tasks with limited variation, usually learned by demonstration and within a day. The supervisor schedules the work and the incumbent follows instructions. The individual is very task oriented. Physical fitness can often be a requirement for the position
</t>
        </r>
      </text>
    </comment>
    <comment ref="E7" authorId="0">
      <text>
        <r>
          <rPr>
            <sz val="8"/>
            <rFont val="Tahoma"/>
            <family val="2"/>
          </rPr>
          <t xml:space="preserve">Performs several straightforward tasks which are closely related, but different. Needs to understand the basic schedule of the work, and can complete tasks without receiving detailed instructions for each task. Training is one week.
</t>
        </r>
      </text>
    </comment>
    <comment ref="E8" authorId="0">
      <text>
        <r>
          <rPr>
            <sz val="8"/>
            <rFont val="Tahoma"/>
            <family val="2"/>
          </rPr>
          <t xml:space="preserve">Performs a number of relatively simple tasks brought together in a routine. Learns the job by demonstration, reinforced by experience. Initial training not more than 2 weeks. Supervision is by exception, with the supervisor readily available to provide guidance if required. The incumbent will have a basic understanding of routines.
</t>
        </r>
      </text>
    </comment>
    <comment ref="E9" authorId="0">
      <text>
        <r>
          <rPr>
            <sz val="8"/>
            <rFont val="Tahoma"/>
            <family val="2"/>
          </rPr>
          <t xml:space="preserve">Routine jobs. The individual will fully understand the routine and rely on  very little supervision. Routines will cover a number of tasks, or  fewer complicated tasks. The individual could operate a medium complexity machine, and make minor adjustments to it, but would not be required to set it up completely. The machine will dictate the quality of the final product. Training = 1 month.
</t>
        </r>
      </text>
    </comment>
    <comment ref="E10" authorId="0">
      <text>
        <r>
          <rPr>
            <sz val="8"/>
            <rFont val="Tahoma"/>
            <family val="2"/>
          </rPr>
          <t xml:space="preserve">Routine starts to become more complex and take on elements of procedure. Literacy and numeracy are taken for granted at this level. The individual can be taught the job in 6 weeks, and be expected to affect the quantity and quality of the end product, although the supervisor retains all responsibility. Entry level of clerical or craft. What is done  and when becomes important. Typical Grade 10.
</t>
        </r>
      </text>
    </comment>
    <comment ref="E11" authorId="0">
      <text>
        <r>
          <rPr>
            <sz val="8"/>
            <rFont val="Tahoma"/>
            <family val="2"/>
          </rPr>
          <t xml:space="preserve">The ability to work with simple procedures (Sets of routines) The individual will still lack procedural ability and will rely on the supervisor for assistance in this regard The individual's performance will have a direct impact on the quantity and quality of the end product. A school leaver is usually well suited at this level. Entry level for learner craftsmen. Gr 12.
</t>
        </r>
      </text>
    </comment>
    <comment ref="E12" authorId="0">
      <text>
        <r>
          <rPr>
            <sz val="8"/>
            <rFont val="Tahoma"/>
            <family val="2"/>
          </rPr>
          <t xml:space="preserve">Ability to perform a wide range of procedures within a single clerical or craft area, which are clearly documented. Acts confidently and independently. May use equipment, and with knowledge, add value through the way equipment is used. Often associated with competent clerks/ secretaries who perform support functions.
</t>
        </r>
      </text>
    </comment>
    <comment ref="E13" authorId="0">
      <text>
        <r>
          <rPr>
            <sz val="8"/>
            <rFont val="Tahoma"/>
            <family val="2"/>
          </rPr>
          <t xml:space="preserve">Procedural or systematic proficiency in a homogeneous clerical/ craft area. Either the individual will handle a few tasks of some complexity and be able to affect high quality standards, or will have broad clerical knowledge, good human relations skills, and the ability to suprevise and train (on the job) junior staff. If applicable, the individual will use equipment to produce high quality outputs. Training = 1 year.
</t>
        </r>
      </text>
    </comment>
    <comment ref="E14" authorId="0">
      <text>
        <r>
          <rPr>
            <sz val="8"/>
            <rFont val="Tahoma"/>
            <family val="2"/>
          </rPr>
          <t xml:space="preserve">Broad knowledge of area in which the incumbent operates gained through experience. This could also be the start level for degrees and diplomas where the study has readies the individual for the position. Often  a full supervisor, or a skilled clerical/ staff position (Could apply to first level newly qualified artisans or to supervisory positions of some complexity, or to degreed positions such as a recruitment officer)
</t>
        </r>
      </text>
    </comment>
    <comment ref="E15" authorId="0">
      <text>
        <r>
          <rPr>
            <sz val="8"/>
            <rFont val="Tahoma"/>
            <family val="0"/>
          </rPr>
          <t>The person  has become an expert on existing systems through long experience or through the study and appropriate experience that has made the individual "job ready". Incumbents at this level are considered highly skilled, and be a source of information for junior staff. Often applied to Diplomate levels such as artisan or Bookkeeper or the start point for business oriented degrees. First level foreman. Training 3-5 years.</t>
        </r>
      </text>
    </comment>
    <comment ref="E16" authorId="0">
      <text>
        <r>
          <rPr>
            <sz val="8"/>
            <rFont val="Tahoma"/>
            <family val="0"/>
          </rPr>
          <t xml:space="preserve">The individual is recognised as a fundi on existing methods, usually in a  complex area. No one in the company will kow more about existing methods than this individual. Whilst not a requirement, this level will also recommend changes to management. Could also be a business degree/ science degree where the degree  allows the individual to fill a  complex position almost immediately. Possible examples include Hitech foreman, Accountant, Professional Officers) Training more than 5 years. This is the management divide.
</t>
        </r>
      </text>
    </comment>
    <comment ref="E17" authorId="0">
      <text>
        <r>
          <rPr>
            <sz val="8"/>
            <rFont val="Tahoma"/>
            <family val="0"/>
          </rPr>
          <t xml:space="preserve">Not usually used. Transitory position between non-management and management positions, I.e.  Spanning position. Also used  for 4 years BSc degrees where the nature of the position requires them to recommend new ways of doing things.
</t>
        </r>
      </text>
    </comment>
    <comment ref="E18" authorId="0">
      <text>
        <r>
          <rPr>
            <sz val="8"/>
            <rFont val="Tahoma"/>
            <family val="0"/>
          </rPr>
          <t xml:space="preserve">Person with knowledge and understanding of principles to enable him to implement change. Usually Manager or Professional - could be degreed and 3 years of experience. Time-frame of working could be  3 months or longer. Daily issues must be received. Needs experience and common sense. This level is usually about a person who has learned the theory and had the time to develop understanding regarding the practice, or a highly experienced person who has developed an understanding of the theory underpinning his areas of expertise. Srategy 0%, Operational 70%, Tactical 30%. (Manager, Branch Manager, up to 50 sub-ordinates, Systems Analyst)
</t>
        </r>
      </text>
    </comment>
    <comment ref="E19" authorId="0">
      <text>
        <r>
          <rPr>
            <sz val="8"/>
            <rFont val="Tahoma"/>
            <family val="0"/>
          </rPr>
          <t xml:space="preserve">Requires a lot of experience and is closely involved  with the implementation of change. Degree + 7 years experience or possibly non-degree with extensive (15 years ) of experience. Cut-off position for non-degreed people.
</t>
        </r>
      </text>
    </comment>
    <comment ref="E20" authorId="0">
      <text>
        <r>
          <rPr>
            <sz val="8"/>
            <rFont val="Tahoma"/>
            <family val="0"/>
          </rPr>
          <t xml:space="preserve">Degree plus 10 years experience. It is critical that the manager has business acumen, or the specialist becomes a technical expert in an area
</t>
        </r>
      </text>
    </comment>
    <comment ref="E21" authorId="0">
      <text>
        <r>
          <rPr>
            <sz val="8"/>
            <rFont val="Tahoma"/>
            <family val="0"/>
          </rPr>
          <t xml:space="preserve">Functional Policy maker top of Senior Management or bottom of General Management. Degree + 15 years of experience. Strategy 15%, Operational 50%, Tactical 35%. A specialist at this level will be a leading light in his area of expertise in the country.
</t>
        </r>
      </text>
    </comment>
    <comment ref="E22" authorId="0">
      <text>
        <r>
          <rPr>
            <sz val="8"/>
            <rFont val="Tahoma"/>
            <family val="0"/>
          </rPr>
          <t xml:space="preserve">Functional expert with business acumen (size could also play a role). General Management levels. Usually associated with a degree and 20years of experience. Often MBA. As a specialist this person will be seen as a national authority in his industry (Invited to present papers at national level)
</t>
        </r>
      </text>
    </comment>
    <comment ref="E23" authorId="0">
      <text>
        <r>
          <rPr>
            <sz val="8"/>
            <rFont val="Tahoma"/>
            <family val="0"/>
          </rPr>
          <t xml:space="preserve">Business acumen plus functional expertise. Big picture people wit international networks.
</t>
        </r>
      </text>
    </comment>
    <comment ref="E24" authorId="0">
      <text>
        <r>
          <rPr>
            <sz val="8"/>
            <rFont val="Tahoma"/>
            <family val="0"/>
          </rPr>
          <t xml:space="preserve">Managing Director or General Manager. Usually more than 1000 subordinates. Strategy 30%, Operational 20%, tactical 50%
</t>
        </r>
      </text>
    </comment>
    <comment ref="E25" authorId="0">
      <text>
        <r>
          <rPr>
            <sz val="8"/>
            <rFont val="Tahoma"/>
            <family val="0"/>
          </rPr>
          <t xml:space="preserve">Normally used only for top level expertise in a scientific or other learned discipline who is of such technical depth as to merit recognition of unique competence well beyond the confines of the company. National/ International Expert. Recognised Authority. Seldom found amongst businessmen who just do not have the time to embark on the level of research needed to attain this level of know-how.
</t>
        </r>
      </text>
    </comment>
    <comment ref="L5" authorId="0">
      <text>
        <r>
          <rPr>
            <sz val="8"/>
            <rFont val="Tahoma"/>
            <family val="2"/>
          </rPr>
          <t xml:space="preserve">This symbol is virtually never used. The indivual will only have  1 or 2 simple tasks. Time horizon is in minutes.
</t>
        </r>
      </text>
    </comment>
    <comment ref="L6" authorId="0">
      <text>
        <r>
          <rPr>
            <sz val="8"/>
            <rFont val="Tahoma"/>
            <family val="0"/>
          </rPr>
          <t xml:space="preserve">Job holders who have a time-frame of thinking less than one hour are  evaluated at this level. Usually handles 3 to 5 similar tasks under direct instruction. Time horizon up to an hour.
</t>
        </r>
      </text>
    </comment>
    <comment ref="L7" authorId="0">
      <text>
        <r>
          <rPr>
            <sz val="8"/>
            <rFont val="Tahoma"/>
            <family val="0"/>
          </rPr>
          <t xml:space="preserve">Job holders who have time-frames of thinking less than a shift's duration. These people are frequently required to move around the premises and perform different, but simple tasks. The number of different tasks  could be between 6 and 8. Time horizon  is within the same day.
</t>
        </r>
      </text>
    </comment>
    <comment ref="L8" authorId="0">
      <text>
        <r>
          <rPr>
            <sz val="8"/>
            <rFont val="Tahoma"/>
            <family val="0"/>
          </rPr>
          <t xml:space="preserve">Jog holders with a thinking horizon which is day to day. Experienced shift-operators often fall into this slot. Junior clerks allocated daily work and closely supervised also fit into this category.
</t>
        </r>
      </text>
    </comment>
    <comment ref="L9" authorId="0">
      <text>
        <r>
          <rPr>
            <sz val="8"/>
            <rFont val="Tahoma"/>
            <family val="0"/>
          </rPr>
          <t xml:space="preserve">Fully autonomous  clerical positions, first line supervisors and junior management jobs are found at this breadth. Non-supervisory jobs which gave to liase with other sub-functions of the organisation. Supervises a work group. Thinks in the short term e.g. up to  3 months ahead.
</t>
        </r>
      </text>
    </comment>
    <comment ref="L10" authorId="0">
      <text>
        <r>
          <rPr>
            <sz val="8"/>
            <rFont val="Tahoma"/>
            <family val="0"/>
          </rPr>
          <t xml:space="preserve">Entry to management level, effectiveness starts, makes an input into plans. Will be very aware  of the impact of his job on other parts of the organisation. Expected to give input to departmental planning. Time horizon of up to 6 months. Advises on specific subject matter as to what improved performance looks like and recommends changes to be made.
</t>
        </r>
      </text>
    </comment>
    <comment ref="L11" authorId="0">
      <text>
        <r>
          <rPr>
            <sz val="8"/>
            <rFont val="Tahoma"/>
            <family val="0"/>
          </rPr>
          <t xml:space="preserve">Manager of a  department where the real integration is often the final responsibility of the superior. An individual contributor who starts to make judgements with medium term impacts. Time horizon 6 months to 1 year. A Staff role at this level advises the organisation on an area or subject of a  cross-functional nature.
</t>
        </r>
      </text>
    </comment>
    <comment ref="L12" authorId="0">
      <text>
        <r>
          <rPr>
            <sz val="8"/>
            <rFont val="Tahoma"/>
            <family val="0"/>
          </rPr>
          <t xml:space="preserve">Manager who thinks 12-18 months ahead. A manager of a single function department who integrates dissimilar work of the people under him Functional co-ordinator). A staff role at this level has significant impact over large parts of the organisation, definitely across major functional borders, and will impact on key policies and plans.
</t>
        </r>
      </text>
    </comment>
    <comment ref="L13" authorId="0">
      <text>
        <r>
          <rPr>
            <sz val="8"/>
            <rFont val="Tahoma"/>
            <family val="0"/>
          </rPr>
          <t xml:space="preserve">Entry into General management level. Line Manager of a large and complex department. Time horizon 2-3 years. A staff role at this level handles important issues of major strategic importance.
</t>
        </r>
      </text>
    </comment>
    <comment ref="L14" authorId="0">
      <text>
        <r>
          <rPr>
            <sz val="8"/>
            <rFont val="Tahoma"/>
            <family val="0"/>
          </rPr>
          <t xml:space="preserve">Executives over a large unit with its own policies and strategies in place.
</t>
        </r>
      </text>
    </comment>
    <comment ref="L15" authorId="0">
      <text>
        <r>
          <rPr>
            <sz val="8"/>
            <rFont val="Tahoma"/>
            <family val="0"/>
          </rPr>
          <t xml:space="preserve"> General Management level: Manager who manages othe managers with competing interests such as marketing and credit control functions. He is an  operational co-ordinator. 400-500 staff members. Makes his own functional strategy.
</t>
        </r>
      </text>
    </comment>
    <comment ref="L16" authorId="0">
      <text>
        <r>
          <rPr>
            <sz val="8"/>
            <rFont val="Tahoma"/>
            <family val="0"/>
          </rPr>
          <t xml:space="preserve">dependent on the size, complexity and maturity of the unit managed, or the independence of conceptual thought in a staff function.
</t>
        </r>
      </text>
    </comment>
    <comment ref="L18" authorId="0">
      <text>
        <r>
          <rPr>
            <sz val="8"/>
            <rFont val="Tahoma"/>
            <family val="0"/>
          </rPr>
          <t xml:space="preserve">The Individual is responsible for integrating an entire  complex organisation. Progression upwards depends on organisational size and complexity. For a MD the management breadth would be close to the company magnitude if he is in total control. If a mother company retain control of the financials, the management breadth will fall back a step, and the control of senior appointments would result in a further step back. Evaluations in this group should always be referred for QA check.
</t>
        </r>
      </text>
    </comment>
    <comment ref="J5" authorId="0">
      <text>
        <r>
          <rPr>
            <sz val="8"/>
            <rFont val="Tahoma"/>
            <family val="0"/>
          </rPr>
          <t xml:space="preserve"> Performance of a task(s) highly specific as to objective and content and not involving the supervision of others
</t>
        </r>
      </text>
    </comment>
    <comment ref="J8" authorId="0">
      <text>
        <r>
          <rPr>
            <sz val="8"/>
            <rFont val="Tahoma"/>
            <family val="0"/>
          </rPr>
          <t xml:space="preserve"> Performance or Supervision of an activity which is specific as to objective and content, with appropriate awareness of related activities
</t>
        </r>
      </text>
    </comment>
    <comment ref="J11" authorId="0">
      <text>
        <r>
          <rPr>
            <sz val="8"/>
            <rFont val="Tahoma"/>
            <family val="0"/>
          </rPr>
          <t xml:space="preserve">Internal integration of operations which are relatively homogeneous in nature and objective which involve  external co-ordination and integration of plans with associated functions.
</t>
        </r>
      </text>
    </comment>
    <comment ref="J14" authorId="0">
      <text>
        <r>
          <rPr>
            <sz val="8"/>
            <rFont val="Tahoma"/>
            <family val="0"/>
          </rPr>
          <t xml:space="preserve">Operation or conceptual integration of functions which are diverse in nature and objective in an important management area, or central co-ordination of an important function
</t>
        </r>
      </text>
    </comment>
    <comment ref="J17" authorId="0">
      <text>
        <r>
          <rPr>
            <sz val="8"/>
            <rFont val="Tahoma"/>
            <family val="0"/>
          </rPr>
          <t xml:space="preserve"> Integration of major functions in an operating complex, or Group-wide co-ordination of a strategic function which significantly affects corporate planning or operations.
</t>
        </r>
      </text>
    </comment>
    <comment ref="B5" authorId="0">
      <text>
        <r>
          <rPr>
            <sz val="8"/>
            <rFont val="Tahoma"/>
            <family val="0"/>
          </rPr>
          <t xml:space="preserve">Jobs requiring the performance of basic manual or machine related functions.
</t>
        </r>
      </text>
    </comment>
    <comment ref="B8" authorId="0">
      <text>
        <r>
          <rPr>
            <sz val="8"/>
            <rFont val="Tahoma"/>
            <family val="0"/>
          </rPr>
          <t xml:space="preserve">Jobs requiring familiarisation in uninvolved, standardised work routines and/or use of simple equipment and machines
</t>
        </r>
      </text>
    </comment>
    <comment ref="B11" authorId="0">
      <text>
        <r>
          <rPr>
            <sz val="8"/>
            <rFont val="Tahoma"/>
            <family val="0"/>
          </rPr>
          <t xml:space="preserve">Jobs requiring procedural or systematic proficiency, which may involve facility in the use of specialised equipment
</t>
        </r>
      </text>
    </comment>
    <comment ref="B14" authorId="0">
      <text>
        <r>
          <rPr>
            <sz val="8"/>
            <rFont val="Tahoma"/>
            <family val="0"/>
          </rPr>
          <t xml:space="preserve">Jobs requiring some specialised skill gained by 'on the job' experience or through part professional qualification.
</t>
        </r>
      </text>
    </comment>
    <comment ref="B17" authorId="0">
      <text>
        <r>
          <rPr>
            <sz val="8"/>
            <rFont val="Tahoma"/>
            <family val="0"/>
          </rPr>
          <t xml:space="preserve">Jobs requiring sufficiency in a trchnical or specialised field involving an understanding of theoretical principles normally gained through a professional or scientific qualification or through a detailed grasp of involved practices and procedures.
</t>
        </r>
      </text>
    </comment>
    <comment ref="B20" authorId="0">
      <text>
        <r>
          <rPr>
            <sz val="8"/>
            <rFont val="Tahoma"/>
            <family val="0"/>
          </rPr>
          <t xml:space="preserve">Jobs requiring proficiency in a  technical, scientific or specialised field gained through broad and deep experience built on concepts and principles, or through wide exposure to complex practices and precedents.
</t>
        </r>
      </text>
    </comment>
    <comment ref="B23" authorId="0">
      <text>
        <r>
          <rPr>
            <sz val="8"/>
            <rFont val="Tahoma"/>
            <family val="0"/>
          </rPr>
          <t xml:space="preserve">Jobs requiring determinative mastery of concepts, principles and practices gained through deep development in a highly specialised firld or through comprehensive business experience.
</t>
        </r>
      </text>
    </comment>
    <comment ref="B26" authorId="0">
      <text>
        <r>
          <rPr>
            <sz val="8"/>
            <rFont val="Tahoma"/>
            <family val="0"/>
          </rPr>
          <t xml:space="preserve">Jobs requiring unique command of principles, theories and practices in scientific or learned disciplines.
</t>
        </r>
      </text>
    </comment>
    <comment ref="M21" authorId="0">
      <text>
        <r>
          <rPr>
            <b/>
            <sz val="8"/>
            <rFont val="Tahoma"/>
            <family val="0"/>
          </rPr>
          <t>Supervisor:</t>
        </r>
        <r>
          <rPr>
            <sz val="8"/>
            <rFont val="Tahoma"/>
            <family val="0"/>
          </rPr>
          <t xml:space="preserve">
QA check for unlikely combinations</t>
        </r>
      </text>
    </comment>
    <comment ref="M22" authorId="0">
      <text>
        <r>
          <rPr>
            <b/>
            <sz val="8"/>
            <rFont val="Tahoma"/>
            <family val="0"/>
          </rPr>
          <t>Supervisor:</t>
        </r>
        <r>
          <rPr>
            <sz val="8"/>
            <rFont val="Tahoma"/>
            <family val="0"/>
          </rPr>
          <t xml:space="preserve">
QA check for unlikely combinations</t>
        </r>
      </text>
    </comment>
    <comment ref="M23" authorId="0">
      <text>
        <r>
          <rPr>
            <b/>
            <sz val="8"/>
            <rFont val="Tahoma"/>
            <family val="0"/>
          </rPr>
          <t>Supervisor:</t>
        </r>
        <r>
          <rPr>
            <sz val="8"/>
            <rFont val="Tahoma"/>
            <family val="0"/>
          </rPr>
          <t xml:space="preserve">
QA check for unlikely combinations</t>
        </r>
      </text>
    </comment>
    <comment ref="M24" authorId="0">
      <text>
        <r>
          <rPr>
            <b/>
            <sz val="8"/>
            <rFont val="Tahoma"/>
            <family val="0"/>
          </rPr>
          <t>Supervisor:</t>
        </r>
        <r>
          <rPr>
            <sz val="8"/>
            <rFont val="Tahoma"/>
            <family val="0"/>
          </rPr>
          <t xml:space="preserve">
QA check for unlikely combinations</t>
        </r>
      </text>
    </comment>
    <comment ref="K21" authorId="0">
      <text>
        <r>
          <rPr>
            <sz val="8"/>
            <rFont val="Tahoma"/>
            <family val="0"/>
          </rPr>
          <t>This figure represents the closest exact figure on the relevant HAY table</t>
        </r>
      </text>
    </comment>
    <comment ref="J20" authorId="0">
      <text>
        <r>
          <rPr>
            <sz val="8"/>
            <rFont val="Tahoma"/>
            <family val="0"/>
          </rPr>
          <t xml:space="preserve">1 indicates BASIC HR skills: Ordinary courtesy and effectiveness in dealing with others is required
2 indicates IMPORTANT HR skills : Understanding, influencing, serving and/or communicating with people are important but not overriding considerations
3 indicates OVERRIDING HR skills: Skills in influencing, developing and/or motivating people are critical to the achievement of job objectives.
</t>
        </r>
      </text>
    </comment>
    <comment ref="Q20" authorId="0">
      <text>
        <r>
          <rPr>
            <sz val="8"/>
            <rFont val="Tahoma"/>
            <family val="0"/>
          </rPr>
          <t xml:space="preserve">Breadth of Management corrector
</t>
        </r>
      </text>
    </comment>
    <comment ref="R29" authorId="0">
      <text>
        <r>
          <rPr>
            <b/>
            <sz val="8"/>
            <rFont val="Tahoma"/>
            <family val="0"/>
          </rPr>
          <t xml:space="preserve">Depth of Knowledge Corrector
</t>
        </r>
        <r>
          <rPr>
            <sz val="8"/>
            <rFont val="Tahoma"/>
            <family val="0"/>
          </rPr>
          <t xml:space="preserve">
</t>
        </r>
      </text>
    </comment>
    <comment ref="Q24" authorId="0">
      <text>
        <r>
          <rPr>
            <b/>
            <sz val="8"/>
            <rFont val="Tahoma"/>
            <family val="0"/>
          </rPr>
          <t>Sum of  2 Correctors</t>
        </r>
        <r>
          <rPr>
            <sz val="8"/>
            <rFont val="Tahoma"/>
            <family val="0"/>
          </rPr>
          <t xml:space="preserve">
</t>
        </r>
      </text>
    </comment>
    <comment ref="Q25" authorId="0">
      <text>
        <r>
          <rPr>
            <b/>
            <sz val="8"/>
            <rFont val="Tahoma"/>
            <family val="0"/>
          </rPr>
          <t>DOK &amp; BOM Correction factor</t>
        </r>
        <r>
          <rPr>
            <sz val="8"/>
            <rFont val="Tahoma"/>
            <family val="0"/>
          </rPr>
          <t xml:space="preserve">
</t>
        </r>
      </text>
    </comment>
    <comment ref="Q23" authorId="0">
      <text>
        <r>
          <rPr>
            <b/>
            <sz val="8"/>
            <rFont val="Tahoma"/>
            <family val="0"/>
          </rPr>
          <t>HRS corrector</t>
        </r>
        <r>
          <rPr>
            <sz val="8"/>
            <rFont val="Tahoma"/>
            <family val="0"/>
          </rPr>
          <t xml:space="preserve">
</t>
        </r>
      </text>
    </comment>
    <comment ref="Q26" authorId="0">
      <text>
        <r>
          <rPr>
            <b/>
            <sz val="8"/>
            <rFont val="Tahoma"/>
            <family val="0"/>
          </rPr>
          <t>Overall Corrector</t>
        </r>
        <r>
          <rPr>
            <sz val="8"/>
            <rFont val="Tahoma"/>
            <family val="0"/>
          </rPr>
          <t xml:space="preserve">
</t>
        </r>
      </text>
    </comment>
  </commentList>
</comments>
</file>

<file path=xl/comments5.xml><?xml version="1.0" encoding="utf-8"?>
<comments xmlns="http://schemas.openxmlformats.org/spreadsheetml/2006/main">
  <authors>
    <author>Supervisor</author>
  </authors>
  <commentList>
    <comment ref="B4" authorId="0">
      <text>
        <r>
          <rPr>
            <sz val="8"/>
            <rFont val="Tahoma"/>
            <family val="0"/>
          </rPr>
          <t xml:space="preserve">Thinking within detailed rules, instructions and/or rigid supervision.
</t>
        </r>
      </text>
    </comment>
    <comment ref="B6" authorId="0">
      <text>
        <r>
          <rPr>
            <sz val="8"/>
            <rFont val="Tahoma"/>
            <family val="0"/>
          </rPr>
          <t xml:space="preserve">Thinking within standard instructions and/or continious close supervision
</t>
        </r>
      </text>
    </comment>
    <comment ref="B8" authorId="0">
      <text>
        <r>
          <rPr>
            <sz val="8"/>
            <rFont val="Tahoma"/>
            <family val="0"/>
          </rPr>
          <t xml:space="preserve">Thinking within well-defined procedures and precedents, somewhat diversified, and/or supervised.
</t>
        </r>
      </text>
    </comment>
    <comment ref="B10" authorId="0">
      <text>
        <r>
          <rPr>
            <sz val="8"/>
            <rFont val="Tahoma"/>
            <family val="0"/>
          </rPr>
          <t xml:space="preserve">Thinking within substantially diversified, established company procedures and standards, and general supervision.
</t>
        </r>
      </text>
    </comment>
    <comment ref="B12" authorId="0">
      <text>
        <r>
          <rPr>
            <sz val="8"/>
            <rFont val="Tahoma"/>
            <family val="0"/>
          </rPr>
          <t xml:space="preserve">Thinking within clearly defined company policies, principles and specific objectives, under eadily available direction.
</t>
        </r>
      </text>
    </comment>
    <comment ref="B14" authorId="0">
      <text>
        <r>
          <rPr>
            <sz val="8"/>
            <rFont val="Tahoma"/>
            <family val="0"/>
          </rPr>
          <t xml:space="preserve">Thinking within broad policies and objectives, under general direction.
</t>
        </r>
      </text>
    </comment>
    <comment ref="B16" authorId="0">
      <text>
        <r>
          <rPr>
            <sz val="8"/>
            <rFont val="Tahoma"/>
            <family val="0"/>
          </rPr>
          <t xml:space="preserve">Thinking within general policies, princliples and goals unde guidance.
</t>
        </r>
      </text>
    </comment>
    <comment ref="B18" authorId="0">
      <text>
        <r>
          <rPr>
            <sz val="8"/>
            <rFont val="Tahoma"/>
            <family val="0"/>
          </rPr>
          <t xml:space="preserve">Thinking within business philosophy and/or principles controlling human affairs.
</t>
        </r>
      </text>
    </comment>
    <comment ref="J4" authorId="0">
      <text>
        <r>
          <rPr>
            <sz val="8"/>
            <rFont val="Tahoma"/>
            <family val="2"/>
          </rPr>
          <t xml:space="preserve">Identical situations requiring solution by simple choice of things learned
</t>
        </r>
      </text>
    </comment>
    <comment ref="J6" authorId="0">
      <text>
        <r>
          <rPr>
            <sz val="8"/>
            <rFont val="Tahoma"/>
            <family val="0"/>
          </rPr>
          <t xml:space="preserve">Similar situaltions requiring solutions by discriminating choice of things learned.
</t>
        </r>
      </text>
    </comment>
    <comment ref="J8" authorId="0">
      <text>
        <r>
          <rPr>
            <sz val="8"/>
            <rFont val="Tahoma"/>
            <family val="0"/>
          </rPr>
          <t xml:space="preserve">Differing situations requiring the identification and selection of solutions through the application of acquired knowledge within the area of things learned.
</t>
        </r>
      </text>
    </comment>
    <comment ref="J10" authorId="0">
      <text>
        <r>
          <rPr>
            <sz val="8"/>
            <rFont val="Tahoma"/>
            <family val="0"/>
          </rPr>
          <t xml:space="preserve">Situations requiring evaluative, analytical, interpretive and/or constructive thinking and a significant degree of evaluation judgement.
</t>
        </r>
      </text>
    </comment>
    <comment ref="J12" authorId="0">
      <text>
        <r>
          <rPr>
            <sz val="8"/>
            <rFont val="Tahoma"/>
            <family val="0"/>
          </rPr>
          <t xml:space="preserve">Novel or non-recurring pathfinding situations requiring the development of new concepts and imaginative approaches.
</t>
        </r>
      </text>
    </comment>
    <comment ref="D4" authorId="0">
      <text>
        <r>
          <rPr>
            <sz val="8"/>
            <rFont val="Tahoma"/>
            <family val="0"/>
          </rPr>
          <t>The "what" of the job is  precisely laid down</t>
        </r>
      </text>
    </comment>
    <comment ref="D5" authorId="0">
      <text>
        <r>
          <rPr>
            <sz val="8"/>
            <rFont val="Tahoma"/>
            <family val="0"/>
          </rPr>
          <t xml:space="preserve">Variety of simple tasks rather than one task or supervision is less intense.
</t>
        </r>
      </text>
    </comment>
    <comment ref="D6" authorId="0">
      <text>
        <r>
          <rPr>
            <sz val="8"/>
            <rFont val="Tahoma"/>
            <family val="0"/>
          </rPr>
          <t xml:space="preserve">The method of how things are to be done may not be changed, but the order in which they may be doen may be changed. There may be less supervision, ad-hoc rather than ongoing
</t>
        </r>
      </text>
    </comment>
    <comment ref="D7" authorId="0">
      <text>
        <r>
          <rPr>
            <b/>
            <sz val="8"/>
            <rFont val="Tahoma"/>
            <family val="0"/>
          </rPr>
          <t>Supervisor:</t>
        </r>
        <r>
          <rPr>
            <sz val="8"/>
            <rFont val="Tahoma"/>
            <family val="0"/>
          </rPr>
          <t xml:space="preserve">
Entry and competent clerical levels</t>
        </r>
      </text>
    </comment>
    <comment ref="D8" authorId="0">
      <text>
        <r>
          <rPr>
            <sz val="8"/>
            <rFont val="Tahoma"/>
            <family val="0"/>
          </rPr>
          <t xml:space="preserve">The incumbent has to think within systems. Generally, whilst possibly diversified, these are well established, written down and capable of only one interpretation. Semi-routine jobs.
</t>
        </r>
      </text>
    </comment>
    <comment ref="D9" authorId="0">
      <text>
        <r>
          <rPr>
            <sz val="8"/>
            <rFont val="Tahoma"/>
            <family val="0"/>
          </rPr>
          <t xml:space="preserve">Problems are more numerous, difficult and the superior gives less supervision.
</t>
        </r>
      </text>
    </comment>
    <comment ref="D10" authorId="0">
      <text>
        <r>
          <rPr>
            <b/>
            <sz val="8"/>
            <rFont val="Tahoma"/>
            <family val="0"/>
          </rPr>
          <t>Supervisor:</t>
        </r>
        <r>
          <rPr>
            <sz val="8"/>
            <rFont val="Tahoma"/>
            <family val="0"/>
          </rPr>
          <t xml:space="preserve">
Many and diverse problems are tackled within customary methods of approach, which may not be written down. Substantially diversified procedures and specialised standards. Thinking is based either an indepth understanding of procedures and precedents or  on a strong theoretical knowledge</t>
        </r>
      </text>
    </comment>
    <comment ref="D11" authorId="0">
      <text>
        <r>
          <rPr>
            <sz val="8"/>
            <rFont val="Tahoma"/>
            <family val="0"/>
          </rPr>
          <t xml:space="preserve">Problems are more technical and more complex, and the "how' of the job becomes flexible, which also infers inability to change anything radically without the superior's permission. Expected, however, to play tunes within the status quo, I.e. can provide harmony but not change the music score.
</t>
        </r>
      </text>
    </comment>
    <comment ref="D12" authorId="0">
      <text>
        <r>
          <rPr>
            <sz val="8"/>
            <rFont val="Tahoma"/>
            <family val="0"/>
          </rPr>
          <t xml:space="preserve">Functional Policy Implementer. The "what" of the job is clearly defined and the "how" is left to the job holder who has  readily available access to advice on approaches to solve problems from an executive.
</t>
        </r>
      </text>
    </comment>
    <comment ref="D13" authorId="0">
      <text>
        <r>
          <rPr>
            <sz val="8"/>
            <rFont val="Tahoma"/>
            <family val="2"/>
          </rPr>
          <t xml:space="preserve">The problems are more complex. Because of the complexity the incumbent strongly influences departmental functional policies. Thus the incumbent is required to be more self-sufficient. Direction is unclear and a solution has to be  found using new concepts.
</t>
        </r>
      </text>
    </comment>
    <comment ref="D14" authorId="0">
      <text>
        <r>
          <rPr>
            <sz val="8"/>
            <rFont val="Tahoma"/>
            <family val="0"/>
          </rPr>
          <t xml:space="preserve">Required to formulate functional or departmental policies to achieve agreed goals. Here the "what" of the job is partially determined by the incumbent. Strong accent on tactical optimisation, with more operational than strategic issues to resolve. Strong functional strategy formulation forms part of the job.
</t>
        </r>
      </text>
    </comment>
    <comment ref="D15" authorId="0">
      <text>
        <r>
          <rPr>
            <sz val="8"/>
            <rFont val="Tahoma"/>
            <family val="0"/>
          </rPr>
          <t xml:space="preserve">The accent becomes more tactical/strategic and the issues more complex. Determines  functional/ business units' strategic direction. Often the incumbent is the specialist source of knowledge and thus guidnace may come from outside the organisation e.g. Academics. Thinking can be based on business  requiremts and expert tecnology.
</t>
        </r>
      </text>
    </comment>
    <comment ref="L4" authorId="0">
      <text>
        <r>
          <rPr>
            <sz val="8"/>
            <rFont val="Tahoma"/>
            <family val="0"/>
          </rPr>
          <t xml:space="preserve">One task is  carried out every few seconds with no deviations
</t>
        </r>
      </text>
    </comment>
    <comment ref="L5" authorId="0">
      <text>
        <r>
          <rPr>
            <sz val="8"/>
            <rFont val="Tahoma"/>
            <family val="0"/>
          </rPr>
          <t xml:space="preserve">A few tasks may be carried out, thus a slightly wider variety of simple options must be learned and vigorously applied. It often involves moving around a building
</t>
        </r>
      </text>
    </comment>
    <comment ref="L6" authorId="0">
      <text>
        <r>
          <rPr>
            <sz val="8"/>
            <rFont val="Tahoma"/>
            <family val="2"/>
          </rPr>
          <t xml:space="preserve">Learned solutions: The problems are easy to identify and exact solutions can be applied in a few minutes. Solutions are learned  off by heart either through training or experience and are applied to a situation. The solutions can only be right or wrong - no grey areas.
</t>
        </r>
      </text>
    </comment>
    <comment ref="L7" authorId="0">
      <text>
        <r>
          <rPr>
            <sz val="8"/>
            <rFont val="Tahoma"/>
            <family val="0"/>
          </rPr>
          <t xml:space="preserve">Slight adjustments can be made within approved methods of working. Extra thought is required and this may involve a longer time horizon, possibly more than an hour. Uses discretion in handling people. At times  may need to search for an answer.
</t>
        </r>
      </text>
    </comment>
    <comment ref="L8" authorId="0">
      <text>
        <r>
          <rPr>
            <sz val="8"/>
            <rFont val="Tahoma"/>
            <family val="0"/>
          </rPr>
          <t xml:space="preserve">Judgement. Past precedents inhibits any approach beyond well known limits. However there are a wide range of  problems to be solved. Time frames seldom exceed 3 months, except at annual planning time. He does not know the answer immediately, but will know the right answer when it has been found. Research will result in readily implementable solutions, which may however take some time to find.
</t>
        </r>
      </text>
    </comment>
    <comment ref="L9" authorId="0">
      <text>
        <r>
          <rPr>
            <sz val="8"/>
            <rFont val="Tahoma"/>
            <family val="0"/>
          </rPr>
          <t xml:space="preserve">The incumbent is expected to extrapolate along the general thrust. The time frame is often 3-6 months ahead, but there will still be many day-to-day issues to be tackled. The incumbent will be on the border of directly implementable solutions, and those where some risk must be taken. He will extrapolate from the known into the required area, and recommend options and alternatives with the pros and cons explained.
</t>
        </r>
      </text>
    </comment>
    <comment ref="L10" authorId="0">
      <text>
        <r>
          <rPr>
            <sz val="8"/>
            <rFont val="Tahoma"/>
            <family val="2"/>
          </rPr>
          <t>Risk. The thinking horizon is often dealing with issues up to 2 years ahead. The issues may be complex, but ongoing in nature. Risk is inherent in forming the optimum or most practicable solution. Uses experience/ acumen to propose sound solution because ther is no clearly correct solution. The incumbent is seen as the selector of best opinion/ author of best solutions. If academic/research, the incumbent will be working in the area of new knowledge basing his research on similar research that has been conducted. Presedents are very vague and difficult to relate to the present circumstances.</t>
        </r>
        <r>
          <rPr>
            <sz val="8"/>
            <rFont val="Tahoma"/>
            <family val="0"/>
          </rPr>
          <t xml:space="preserve">
</t>
        </r>
      </text>
    </comment>
    <comment ref="L11" authorId="0">
      <text>
        <r>
          <rPr>
            <sz val="8"/>
            <rFont val="Tahoma"/>
            <family val="0"/>
          </rPr>
          <t xml:space="preserve">The time horison generally becomes longer, often 5-7 years ahead. The issues to be faced are often  fundamentally different in nature; The words 'nebulous and intangible' begin to be applicable.
</t>
        </r>
      </text>
    </comment>
    <comment ref="L12" authorId="0">
      <text>
        <r>
          <rPr>
            <b/>
            <sz val="8"/>
            <rFont val="Tahoma"/>
            <family val="0"/>
          </rPr>
          <t>Supervisor:</t>
        </r>
        <r>
          <rPr>
            <sz val="8"/>
            <rFont val="Tahoma"/>
            <family val="0"/>
          </rPr>
          <t xml:space="preserve">
Pioneering work to find new techniques. No precedent anywhere in the world that can be used as a reference. Research is based on ideas rather than building on existing research.</t>
        </r>
      </text>
    </comment>
    <comment ref="M18" authorId="0">
      <text>
        <r>
          <rPr>
            <b/>
            <sz val="8"/>
            <rFont val="Tahoma"/>
            <family val="0"/>
          </rPr>
          <t>Supervisor:</t>
        </r>
        <r>
          <rPr>
            <sz val="8"/>
            <rFont val="Tahoma"/>
            <family val="0"/>
          </rPr>
          <t xml:space="preserve">
Check for combinations not allowed</t>
        </r>
      </text>
    </comment>
    <comment ref="M19" authorId="0">
      <text>
        <r>
          <rPr>
            <b/>
            <sz val="8"/>
            <rFont val="Tahoma"/>
            <family val="0"/>
          </rPr>
          <t>Supervisor:</t>
        </r>
        <r>
          <rPr>
            <sz val="8"/>
            <rFont val="Tahoma"/>
            <family val="0"/>
          </rPr>
          <t xml:space="preserve">
Check for combinations not allowed</t>
        </r>
      </text>
    </comment>
    <comment ref="M20" authorId="0">
      <text>
        <r>
          <rPr>
            <b/>
            <sz val="8"/>
            <rFont val="Tahoma"/>
            <family val="0"/>
          </rPr>
          <t>Supervisor:</t>
        </r>
        <r>
          <rPr>
            <sz val="8"/>
            <rFont val="Tahoma"/>
            <family val="0"/>
          </rPr>
          <t xml:space="preserve">
Check for combinations not allowed</t>
        </r>
      </text>
    </comment>
    <comment ref="M21" authorId="0">
      <text>
        <r>
          <rPr>
            <b/>
            <sz val="8"/>
            <rFont val="Tahoma"/>
            <family val="0"/>
          </rPr>
          <t>Supervisor:</t>
        </r>
        <r>
          <rPr>
            <sz val="8"/>
            <rFont val="Tahoma"/>
            <family val="0"/>
          </rPr>
          <t xml:space="preserve">
Check for combinations not allowed</t>
        </r>
      </text>
    </comment>
    <comment ref="M22" authorId="0">
      <text>
        <r>
          <rPr>
            <b/>
            <sz val="8"/>
            <rFont val="Tahoma"/>
            <family val="0"/>
          </rPr>
          <t>Supervisor:</t>
        </r>
        <r>
          <rPr>
            <sz val="8"/>
            <rFont val="Tahoma"/>
            <family val="0"/>
          </rPr>
          <t xml:space="preserve">
Check for combinations not allowed</t>
        </r>
      </text>
    </comment>
    <comment ref="M23" authorId="0">
      <text>
        <r>
          <rPr>
            <b/>
            <sz val="8"/>
            <rFont val="Tahoma"/>
            <family val="0"/>
          </rPr>
          <t>Supervisor:</t>
        </r>
        <r>
          <rPr>
            <sz val="8"/>
            <rFont val="Tahoma"/>
            <family val="0"/>
          </rPr>
          <t xml:space="preserve">
Check for combinations not allowed</t>
        </r>
      </text>
    </comment>
    <comment ref="M14" authorId="0">
      <text>
        <r>
          <rPr>
            <sz val="8"/>
            <rFont val="Tahoma"/>
            <family val="0"/>
          </rPr>
          <t xml:space="preserve">These figures represent the closests exact figures as can be found on the relevant HAY tables
</t>
        </r>
      </text>
    </comment>
  </commentList>
</comments>
</file>

<file path=xl/comments6.xml><?xml version="1.0" encoding="utf-8"?>
<comments xmlns="http://schemas.openxmlformats.org/spreadsheetml/2006/main">
  <authors>
    <author>Supervisor</author>
    <author>KarelN</author>
  </authors>
  <commentList>
    <comment ref="B5" authorId="0">
      <text>
        <r>
          <rPr>
            <sz val="8"/>
            <rFont val="Tahoma"/>
            <family val="0"/>
          </rPr>
          <t xml:space="preserve">These jobs are subject to direct and detailed instructions
</t>
        </r>
      </text>
    </comment>
    <comment ref="B8" authorId="0">
      <text>
        <r>
          <rPr>
            <sz val="8"/>
            <rFont val="Tahoma"/>
            <family val="0"/>
          </rPr>
          <t xml:space="preserve">These jobs are subject to instructions and established  work routines
</t>
        </r>
      </text>
    </comment>
    <comment ref="B11" authorId="0">
      <text>
        <r>
          <rPr>
            <sz val="8"/>
            <rFont val="Tahoma"/>
            <family val="0"/>
          </rPr>
          <t xml:space="preserve">These jobs are subject , wholly or in part, to standardised practices and procedures; general work instructions; supervision of progress and results.
</t>
        </r>
      </text>
    </comment>
    <comment ref="B14" authorId="0">
      <text>
        <r>
          <rPr>
            <sz val="8"/>
            <rFont val="Tahoma"/>
            <family val="2"/>
          </rPr>
          <t xml:space="preserve">These jobs are subject, wholly or in part, to practices and procedures which have clear precedents or are covered by closely defined policies, managerial control, regular review of progress and results.  Entry into management
</t>
        </r>
      </text>
    </comment>
    <comment ref="B17" authorId="0">
      <text>
        <r>
          <rPr>
            <sz val="8"/>
            <rFont val="Tahoma"/>
            <family val="0"/>
          </rPr>
          <t xml:space="preserve">These jobs are subject to broad practice and procedures covered by functional precedents and policies; Ahievement of a circumscribed operational activity; Functional Management direction (Implementation)
</t>
        </r>
      </text>
    </comment>
    <comment ref="B20" authorId="0">
      <text>
        <r>
          <rPr>
            <sz val="8"/>
            <rFont val="Tahoma"/>
            <family val="0"/>
          </rPr>
          <t xml:space="preserve">These jobs, by the nature of their size, are broadly subject to functional policies and objectives and Management general direction.
</t>
        </r>
      </text>
    </comment>
    <comment ref="B23" authorId="0">
      <text>
        <r>
          <rPr>
            <sz val="8"/>
            <rFont val="Tahoma"/>
            <family val="0"/>
          </rPr>
          <t xml:space="preserve">These jobs are inherently subject to Group policies and long-range objectives, and Top Management guidance. (Mission control)
</t>
        </r>
      </text>
    </comment>
    <comment ref="D6" authorId="0">
      <text>
        <r>
          <rPr>
            <sz val="8"/>
            <rFont val="Tahoma"/>
            <family val="0"/>
          </rPr>
          <t xml:space="preserve">can only carry out direct and detailed instructions. Must have fresh instructions for each task. There is no discretion and strict supervision.
</t>
        </r>
      </text>
    </comment>
    <comment ref="D7" authorId="0">
      <text>
        <r>
          <rPr>
            <sz val="8"/>
            <rFont val="Tahoma"/>
            <family val="0"/>
          </rPr>
          <t xml:space="preserve">carries out work within detailed instructions. The work may include  a number of cloesely related tasks and the individual has the right to decide on thesequence of tasks, but may not vary the procedure.
</t>
        </r>
      </text>
    </comment>
    <comment ref="D8" authorId="0">
      <text>
        <r>
          <rPr>
            <sz val="8"/>
            <rFont val="Tahoma"/>
            <family val="0"/>
          </rPr>
          <t xml:space="preserve">Carries out work within simple, well defined routines with the discretion to move from one task to another, as the flow dictates, but may not vary the procedure.
</t>
        </r>
      </text>
    </comment>
    <comment ref="D9" authorId="0">
      <text>
        <r>
          <rPr>
            <sz val="8"/>
            <rFont val="Tahoma"/>
            <family val="0"/>
          </rPr>
          <t xml:space="preserve">Freedom to act infers taking actions within a well established wor routine with the discretion to overcome minor variances, but relying on supervision guidance for non-standard situations.
</t>
        </r>
      </text>
    </comment>
    <comment ref="D10" authorId="0">
      <text>
        <r>
          <rPr>
            <sz val="8"/>
            <rFont val="Tahoma"/>
            <family val="2"/>
          </rPr>
          <t xml:space="preserve">Freedom to act is subject to set, fairly complex routine, but selecting an approved optimal, appropriate method rather than an exact one is expected. The individual may make minor adjustments as appropriate for the situation.
</t>
        </r>
      </text>
    </comment>
    <comment ref="D11" authorId="0">
      <text>
        <r>
          <rPr>
            <sz val="8"/>
            <rFont val="Tahoma"/>
            <family val="0"/>
          </rPr>
          <t xml:space="preserve">Freedom to act is subject to simple procedure, which needs to be fully understood. The system will be relatively straightforward, and limited in variety. A little discretion is expected to select optimal solutiopns.
</t>
        </r>
      </text>
    </comment>
    <comment ref="D12" authorId="0">
      <text>
        <r>
          <rPr>
            <sz val="8"/>
            <rFont val="Tahoma"/>
            <family val="2"/>
          </rPr>
          <t xml:space="preserve">Freedom to act in well established situations. Must understand the system well before taking decision. Must choose the most appropriate solution for various situations within the parameters that apply, using experience as a guide.
</t>
        </r>
      </text>
    </comment>
    <comment ref="D13" authorId="0">
      <text>
        <r>
          <rPr>
            <sz val="8"/>
            <rFont val="Tahoma"/>
            <family val="0"/>
          </rPr>
          <t xml:space="preserve">Make decisions  which are beginning to be complex within the set system for the area of work. The individual has the latitude to choose an effective route to achieving results, in parameters, and may for the first time make decisions outside the pure black and white.
</t>
        </r>
      </text>
    </comment>
    <comment ref="D14" authorId="0">
      <text>
        <r>
          <rPr>
            <sz val="8"/>
            <rFont val="Tahoma"/>
            <family val="0"/>
          </rPr>
          <t xml:space="preserve">Makes decisions based on an expert understanding of the system, and uses discretion based on past experience (precedent) in order to optimally match the solution to the situation. Beginning to understand the spirit of the policy and procedure rather than applying it strictly
</t>
        </r>
      </text>
    </comment>
    <comment ref="D15" authorId="0">
      <text>
        <r>
          <rPr>
            <sz val="8"/>
            <rFont val="Tahoma"/>
            <family val="2"/>
          </rPr>
          <t xml:space="preserve">Decisions become diverse and are covered by policies and precedents  rather than  procedures and practices (I.e. custom rather than written rules). Decisions made in spirit of the procedure rather than the words.
</t>
        </r>
      </text>
    </comment>
    <comment ref="D16" authorId="0">
      <text>
        <r>
          <rPr>
            <sz val="8"/>
            <rFont val="Tahoma"/>
            <family val="0"/>
          </rPr>
          <t xml:space="preserve">The individual works within the spirit of the procedures, and is able to optimise the way things are done. When faced with problems, the individual may improvise by adapting acceptable unconventional methods to overcome the problem
</t>
        </r>
      </text>
    </comment>
    <comment ref="D17" authorId="0">
      <text>
        <r>
          <rPr>
            <sz val="8"/>
            <rFont val="Tahoma"/>
            <family val="0"/>
          </rPr>
          <t xml:space="preserve">Can wobble down the middle of the road. Only minor changes can be made withou reference to the superior.
</t>
        </r>
      </text>
    </comment>
    <comment ref="D18" authorId="0">
      <text>
        <r>
          <rPr>
            <sz val="8"/>
            <rFont val="Tahoma"/>
            <family val="0"/>
          </rPr>
          <t xml:space="preserve">Is free to act independently as long as objectives will be met within the parameters laid down.
</t>
        </r>
      </text>
    </comment>
    <comment ref="D19" authorId="0">
      <text>
        <r>
          <rPr>
            <sz val="8"/>
            <rFont val="Tahoma"/>
            <family val="0"/>
          </rPr>
          <t xml:space="preserve">Although bound by parameters, these may exceeded but always kept in mind. This infers for the first time making decisions which go beyons existing policies and thus the incumbent must be aware of the risks involved. The incumbent is expected  to improve how the major function/ organisation operates.
</t>
        </r>
      </text>
    </comment>
    <comment ref="D20" authorId="0">
      <text>
        <r>
          <rPr>
            <sz val="8"/>
            <rFont val="Tahoma"/>
            <family val="0"/>
          </rPr>
          <t xml:space="preserve">Incumbent is entrusted to implement strategy which is primarily owned by the owner board. (Our master wants - we make it happen)
</t>
        </r>
      </text>
    </comment>
    <comment ref="D21" authorId="0">
      <text>
        <r>
          <rPr>
            <sz val="8"/>
            <rFont val="Tahoma"/>
            <family val="0"/>
          </rPr>
          <t xml:space="preserve">The incumbent becomes jointly involved in setting strategy with owner board - "our strategy" ("My turf")
</t>
        </r>
      </text>
    </comment>
    <comment ref="D22" authorId="0">
      <text>
        <r>
          <rPr>
            <sz val="8"/>
            <rFont val="Tahoma"/>
            <family val="0"/>
          </rPr>
          <t xml:space="preserve">The incumbent decides on strategy within broad principles/ parameters. "My strategy". Keep owner board informed. (I decide it all and make sure it is done)
</t>
        </r>
      </text>
    </comment>
    <comment ref="K5" authorId="0">
      <text>
        <r>
          <rPr>
            <sz val="8"/>
            <rFont val="Tahoma"/>
            <family val="0"/>
          </rPr>
          <t xml:space="preserve">Provision of incidental services for use by others in relation to some important end result.
</t>
        </r>
      </text>
    </comment>
    <comment ref="K6" authorId="0">
      <text>
        <r>
          <rPr>
            <sz val="8"/>
            <rFont val="Tahoma"/>
            <family val="0"/>
          </rPr>
          <t xml:space="preserve">Operation or maintenance  of plant or equipment. Provision of support services usually of an informational or recording nature within a department.
</t>
        </r>
      </text>
    </comment>
    <comment ref="K7" authorId="0">
      <text>
        <r>
          <rPr>
            <sz val="8"/>
            <rFont val="Tahoma"/>
            <family val="0"/>
          </rPr>
          <t xml:space="preserve">Operation of a separate production unit, or shared operation as a member of a team working on an important production unit.
</t>
        </r>
      </text>
    </comment>
    <comment ref="K8" authorId="0">
      <text>
        <r>
          <rPr>
            <sz val="8"/>
            <rFont val="Tahoma"/>
            <family val="0"/>
          </rPr>
          <t xml:space="preserve">Operation of a critical production unit. Provision of support service, usually of an advisory or diagnostic nature, or supervision of a small work team involved with routine work.
</t>
        </r>
      </text>
    </comment>
    <comment ref="K9" authorId="0">
      <text>
        <r>
          <rPr>
            <sz val="8"/>
            <rFont val="Tahoma"/>
            <family val="0"/>
          </rPr>
          <t xml:space="preserve">Control of a small department involving responsibility for work of others. A significant impact upon a key area.
</t>
        </r>
      </text>
    </comment>
    <comment ref="K10" authorId="0">
      <text>
        <r>
          <rPr>
            <sz val="8"/>
            <rFont val="Tahoma"/>
            <family val="0"/>
          </rPr>
          <t xml:space="preserve">Informational, recording or incidental service for use by others in relation to some important end result.
</t>
        </r>
      </text>
    </comment>
    <comment ref="K11" authorId="0">
      <text>
        <r>
          <rPr>
            <sz val="8"/>
            <rFont val="Tahoma"/>
            <family val="0"/>
          </rPr>
          <t xml:space="preserve">Interpretive, advisory or facilitating services for use by others in taking action
</t>
        </r>
      </text>
    </comment>
    <comment ref="K12" authorId="0">
      <text>
        <r>
          <rPr>
            <sz val="8"/>
            <rFont val="Tahoma"/>
            <family val="0"/>
          </rPr>
          <t xml:space="preserve">Jointly accountable with another or others (not own subordinates and superior) within or outside of the organisation unit, in taking action and exercising a controlling impact on end results.
</t>
        </r>
      </text>
    </comment>
    <comment ref="K13" authorId="0">
      <text>
        <r>
          <rPr>
            <b/>
            <sz val="8"/>
            <rFont val="Tahoma"/>
            <family val="0"/>
          </rPr>
          <t>Supervisor:</t>
        </r>
        <r>
          <rPr>
            <sz val="8"/>
            <rFont val="Tahoma"/>
            <family val="0"/>
          </rPr>
          <t xml:space="preserve">
Controlling impact on end results, where shared accountability with others is subordinate.</t>
        </r>
      </text>
    </comment>
    <comment ref="K14" authorId="0">
      <text>
        <r>
          <rPr>
            <sz val="8"/>
            <rFont val="Tahoma"/>
            <family val="0"/>
          </rPr>
          <t xml:space="preserve">Informational, recording or incidental service for use by others in relation to some important end result.
</t>
        </r>
      </text>
    </comment>
    <comment ref="K18" authorId="0">
      <text>
        <r>
          <rPr>
            <sz val="8"/>
            <rFont val="Tahoma"/>
            <family val="0"/>
          </rPr>
          <t xml:space="preserve">Informational, recording or incidental service for use by others in relation to some important end result.
</t>
        </r>
      </text>
    </comment>
    <comment ref="K22" authorId="0">
      <text>
        <r>
          <rPr>
            <sz val="8"/>
            <rFont val="Tahoma"/>
            <family val="0"/>
          </rPr>
          <t xml:space="preserve">Informational, recording or incidental service for use by others in relation to some important end result.
</t>
        </r>
      </text>
    </comment>
    <comment ref="K15" authorId="0">
      <text>
        <r>
          <rPr>
            <sz val="8"/>
            <rFont val="Tahoma"/>
            <family val="0"/>
          </rPr>
          <t xml:space="preserve">Interpretive, advisory or facilitating services for use by others in taking action
</t>
        </r>
      </text>
    </comment>
    <comment ref="K19" authorId="0">
      <text>
        <r>
          <rPr>
            <sz val="8"/>
            <rFont val="Tahoma"/>
            <family val="0"/>
          </rPr>
          <t xml:space="preserve">Interpretive, advisory or facilitating services for use by others in taking action
</t>
        </r>
      </text>
    </comment>
    <comment ref="K23" authorId="0">
      <text>
        <r>
          <rPr>
            <sz val="8"/>
            <rFont val="Tahoma"/>
            <family val="0"/>
          </rPr>
          <t xml:space="preserve">Interpretive, advisory or facilitating services for use by others in taking action
</t>
        </r>
      </text>
    </comment>
    <comment ref="K16" authorId="0">
      <text>
        <r>
          <rPr>
            <sz val="8"/>
            <rFont val="Tahoma"/>
            <family val="0"/>
          </rPr>
          <t xml:space="preserve">Jointly accountable with another or others (not own subordinates and superior) within or outside of the organisation unit, in taking action and exercising a controlling impact on end results.
</t>
        </r>
      </text>
    </comment>
    <comment ref="K20" authorId="0">
      <text>
        <r>
          <rPr>
            <sz val="8"/>
            <rFont val="Tahoma"/>
            <family val="0"/>
          </rPr>
          <t xml:space="preserve">Jointly accountable with another or others (not own subordinates and superior) within or outside of the organisation unit, in taking action and exercising a controlling impact on end results.
</t>
        </r>
      </text>
    </comment>
    <comment ref="K24" authorId="0">
      <text>
        <r>
          <rPr>
            <sz val="8"/>
            <rFont val="Tahoma"/>
            <family val="0"/>
          </rPr>
          <t xml:space="preserve">Jointly accountable with another or others (not own subordinates and superior) within or outside of the organisation unit, in taking action and exercising a controlling impact on end results.
</t>
        </r>
      </text>
    </comment>
    <comment ref="K17" authorId="0">
      <text>
        <r>
          <rPr>
            <b/>
            <sz val="8"/>
            <rFont val="Tahoma"/>
            <family val="0"/>
          </rPr>
          <t>Supervisor:</t>
        </r>
        <r>
          <rPr>
            <sz val="8"/>
            <rFont val="Tahoma"/>
            <family val="0"/>
          </rPr>
          <t xml:space="preserve">
Controlling impact on end results, where shared accountability with others is subordinate.</t>
        </r>
      </text>
    </comment>
    <comment ref="K21" authorId="0">
      <text>
        <r>
          <rPr>
            <b/>
            <sz val="8"/>
            <rFont val="Tahoma"/>
            <family val="0"/>
          </rPr>
          <t>Supervisor:</t>
        </r>
        <r>
          <rPr>
            <sz val="8"/>
            <rFont val="Tahoma"/>
            <family val="0"/>
          </rPr>
          <t xml:space="preserve">
Controlling impact on end results, where shared accountability with others is subordinate.</t>
        </r>
      </text>
    </comment>
    <comment ref="K25" authorId="0">
      <text>
        <r>
          <rPr>
            <b/>
            <sz val="8"/>
            <rFont val="Tahoma"/>
            <family val="0"/>
          </rPr>
          <t>Supervisor:</t>
        </r>
        <r>
          <rPr>
            <sz val="8"/>
            <rFont val="Tahoma"/>
            <family val="0"/>
          </rPr>
          <t xml:space="preserve">
Controlling impact on end results, where shared accountability with others is subordinate.</t>
        </r>
      </text>
    </comment>
    <comment ref="L13" authorId="0">
      <text>
        <r>
          <rPr>
            <sz val="8"/>
            <rFont val="Tahoma"/>
            <family val="0"/>
          </rPr>
          <t xml:space="preserve">Infers sole  controlling impact on end results. S+ or P- is called </t>
        </r>
        <r>
          <rPr>
            <b/>
            <u val="single"/>
            <sz val="8"/>
            <rFont val="Tahoma"/>
            <family val="2"/>
          </rPr>
          <t>"Major:</t>
        </r>
        <r>
          <rPr>
            <sz val="8"/>
            <rFont val="Tahoma"/>
            <family val="0"/>
          </rPr>
          <t xml:space="preserve"> This is used where a manager takes most of the controlling deciaions himself within the delegated Freedom to Act but there will be occasions where the views of  his colleagues, who  could override him, have to be taken into account before decisions are finally taken. In another sense, they are the inner team, reporting to a very senior manager, who clearly is responsible for major policy making within that department and, equally clearly, it rules out certain managers who would not be consulted in every issue.</t>
        </r>
      </text>
    </comment>
    <comment ref="L12" authorId="0">
      <text>
        <r>
          <rPr>
            <sz val="8"/>
            <rFont val="Tahoma"/>
            <family val="0"/>
          </rPr>
          <t xml:space="preserve">These are managers who do not take decisions on their own but are part of a team decision process where their right is not noticeably greater than any others and it could be  less than those of the inner management team. For S+ see the description </t>
        </r>
        <r>
          <rPr>
            <b/>
            <u val="single"/>
            <sz val="8"/>
            <rFont val="Tahoma"/>
            <family val="2"/>
          </rPr>
          <t>"Major"</t>
        </r>
        <r>
          <rPr>
            <sz val="8"/>
            <rFont val="Tahoma"/>
            <family val="0"/>
          </rPr>
          <t xml:space="preserve"> as  described under "Prime".
 S- is called </t>
        </r>
        <r>
          <rPr>
            <b/>
            <u val="single"/>
            <sz val="8"/>
            <rFont val="Tahoma"/>
            <family val="2"/>
          </rPr>
          <t>"Advisory":</t>
        </r>
        <r>
          <rPr>
            <sz val="8"/>
            <rFont val="Tahoma"/>
            <family val="0"/>
          </rPr>
          <t xml:space="preserve"> These managers seldom takes decisions  or are part of the decision making process. Their job is to think through problems and make  recommendations for action. It would be unusual for a management team to reject the proposals in principle, without very good reasons. "At your peril" denotes the importance of the advice which is expected from the position holder. An example could be a legal advisor with no line authority but who would be consulted on legal issues before others take decisions.
</t>
        </r>
      </text>
    </comment>
    <comment ref="L11" authorId="0">
      <text>
        <r>
          <rPr>
            <sz val="8"/>
            <rFont val="Tahoma"/>
            <family val="0"/>
          </rPr>
          <t xml:space="preserve">Managers give advice on the basis that they have thought through issues, but it is  clearly up to line management whether this advice is accepted, amended or rejected. Again, they are clearly not part of the  decision making process. For C+ - look at the category </t>
        </r>
        <r>
          <rPr>
            <b/>
            <u val="single"/>
            <sz val="8"/>
            <rFont val="Tahoma"/>
            <family val="2"/>
          </rPr>
          <t>"Advisory"</t>
        </r>
        <r>
          <rPr>
            <sz val="8"/>
            <rFont val="Tahoma"/>
            <family val="0"/>
          </rPr>
          <t xml:space="preserve"> under "Contributary"
C- is  called </t>
        </r>
        <r>
          <rPr>
            <b/>
            <u val="single"/>
            <sz val="8"/>
            <rFont val="Tahoma"/>
            <family val="2"/>
          </rPr>
          <t>Incidental</t>
        </r>
        <r>
          <rPr>
            <sz val="8"/>
            <rFont val="Tahoma"/>
            <family val="0"/>
          </rPr>
          <t xml:space="preserve"> :  These are managers that tend to gather information and to trend analysis and possibly some evaluation, but normally the real advice would come from their superiors. Consequently this job deals primarily with the past and only to a limited extent with the future,
</t>
        </r>
      </text>
    </comment>
    <comment ref="L10" authorId="0">
      <text>
        <r>
          <rPr>
            <sz val="8"/>
            <rFont val="Tahoma"/>
            <family val="2"/>
          </rPr>
          <t xml:space="preserve">These people collect information about evidence in the past and record what has happened. It is not part of their job to make any recommendations as to future action. In practice it is more usual to evaluate such positions as having non financial impact. For R+ see </t>
        </r>
        <r>
          <rPr>
            <b/>
            <u val="single"/>
            <sz val="8"/>
            <rFont val="Tahoma"/>
            <family val="2"/>
          </rPr>
          <t>"Incidental"</t>
        </r>
        <r>
          <rPr>
            <sz val="8"/>
            <rFont val="Tahoma"/>
            <family val="2"/>
          </rPr>
          <t xml:space="preserve"> under </t>
        </r>
        <r>
          <rPr>
            <b/>
            <u val="single"/>
            <sz val="8"/>
            <rFont val="Tahoma"/>
            <family val="2"/>
          </rPr>
          <t>"Contributory"</t>
        </r>
        <r>
          <rPr>
            <sz val="8"/>
            <rFont val="Tahoma"/>
            <family val="2"/>
          </rPr>
          <t xml:space="preserve">
</t>
        </r>
      </text>
    </comment>
    <comment ref="L14" authorId="0">
      <text>
        <r>
          <rPr>
            <sz val="8"/>
            <rFont val="Tahoma"/>
            <family val="2"/>
          </rPr>
          <t xml:space="preserve">These people collect information about evidence in the past and record what has happened. It is not part of their job to make any recommendations as to future action. In practice it is more usual to evaluate such positions as having non financial impact. For R+ see </t>
        </r>
        <r>
          <rPr>
            <b/>
            <u val="single"/>
            <sz val="8"/>
            <rFont val="Tahoma"/>
            <family val="2"/>
          </rPr>
          <t>"Incidental"</t>
        </r>
        <r>
          <rPr>
            <sz val="8"/>
            <rFont val="Tahoma"/>
            <family val="2"/>
          </rPr>
          <t xml:space="preserve"> under </t>
        </r>
        <r>
          <rPr>
            <b/>
            <u val="single"/>
            <sz val="8"/>
            <rFont val="Tahoma"/>
            <family val="2"/>
          </rPr>
          <t>"Contributory"</t>
        </r>
        <r>
          <rPr>
            <sz val="8"/>
            <rFont val="Tahoma"/>
            <family val="2"/>
          </rPr>
          <t xml:space="preserve">
</t>
        </r>
      </text>
    </comment>
    <comment ref="L18" authorId="0">
      <text>
        <r>
          <rPr>
            <sz val="8"/>
            <rFont val="Tahoma"/>
            <family val="2"/>
          </rPr>
          <t xml:space="preserve">These people collect information about evidence in the past and record what has happened. It is not part of their job to make any recommendations as to future action. In practice it is more usual to evaluate such positions as having non financial impact. For R+ see </t>
        </r>
        <r>
          <rPr>
            <b/>
            <u val="single"/>
            <sz val="8"/>
            <rFont val="Tahoma"/>
            <family val="2"/>
          </rPr>
          <t>"Incidental"</t>
        </r>
        <r>
          <rPr>
            <sz val="8"/>
            <rFont val="Tahoma"/>
            <family val="2"/>
          </rPr>
          <t xml:space="preserve"> under </t>
        </r>
        <r>
          <rPr>
            <b/>
            <u val="single"/>
            <sz val="8"/>
            <rFont val="Tahoma"/>
            <family val="2"/>
          </rPr>
          <t>"Contributory"</t>
        </r>
        <r>
          <rPr>
            <sz val="8"/>
            <rFont val="Tahoma"/>
            <family val="2"/>
          </rPr>
          <t xml:space="preserve">
</t>
        </r>
      </text>
    </comment>
    <comment ref="L22" authorId="0">
      <text>
        <r>
          <rPr>
            <sz val="8"/>
            <rFont val="Tahoma"/>
            <family val="2"/>
          </rPr>
          <t xml:space="preserve">These people collect information about evidence in the past and record what has happened. It is not part of their job to make any recommendations as to future action. In practice it is more usual to evaluate such positions as having non financial impact. For R+ see </t>
        </r>
        <r>
          <rPr>
            <b/>
            <u val="single"/>
            <sz val="8"/>
            <rFont val="Tahoma"/>
            <family val="2"/>
          </rPr>
          <t>"Incidental"</t>
        </r>
        <r>
          <rPr>
            <sz val="8"/>
            <rFont val="Tahoma"/>
            <family val="2"/>
          </rPr>
          <t xml:space="preserve"> under </t>
        </r>
        <r>
          <rPr>
            <b/>
            <u val="single"/>
            <sz val="8"/>
            <rFont val="Tahoma"/>
            <family val="2"/>
          </rPr>
          <t>"Contributory"</t>
        </r>
        <r>
          <rPr>
            <sz val="8"/>
            <rFont val="Tahoma"/>
            <family val="2"/>
          </rPr>
          <t xml:space="preserve">
</t>
        </r>
      </text>
    </comment>
    <comment ref="L15" authorId="0">
      <text>
        <r>
          <rPr>
            <sz val="8"/>
            <rFont val="Tahoma"/>
            <family val="0"/>
          </rPr>
          <t xml:space="preserve">Managers give advice on the basis that they have thought through issues, but it is  clearly up to line management whether this advice is accepted, amended or rejected. Again, they are clearly not part of the  decision making process. For C+ - look at the category </t>
        </r>
        <r>
          <rPr>
            <b/>
            <u val="single"/>
            <sz val="8"/>
            <rFont val="Tahoma"/>
            <family val="2"/>
          </rPr>
          <t>"Advisory"</t>
        </r>
        <r>
          <rPr>
            <sz val="8"/>
            <rFont val="Tahoma"/>
            <family val="0"/>
          </rPr>
          <t xml:space="preserve"> under "Contributary"
C- is  called </t>
        </r>
        <r>
          <rPr>
            <b/>
            <u val="single"/>
            <sz val="8"/>
            <rFont val="Tahoma"/>
            <family val="2"/>
          </rPr>
          <t>Incidental</t>
        </r>
        <r>
          <rPr>
            <sz val="8"/>
            <rFont val="Tahoma"/>
            <family val="0"/>
          </rPr>
          <t xml:space="preserve"> :  These are managers that tend to gather information and to trend analysis and possibly some evaluation, but normally the real advice would come from their superiors. Consequently this job deals primarily with the past and only to a limited extent with the future,
</t>
        </r>
      </text>
    </comment>
    <comment ref="L19" authorId="0">
      <text>
        <r>
          <rPr>
            <sz val="8"/>
            <rFont val="Tahoma"/>
            <family val="0"/>
          </rPr>
          <t xml:space="preserve">Managers give advice on the basis that they have thought through issues, but it is  clearly up to line management whether this advice is accepted, amended or rejected. Again, they are clearly not part of the  decision making process. For C+ - look at the category </t>
        </r>
        <r>
          <rPr>
            <b/>
            <u val="single"/>
            <sz val="8"/>
            <rFont val="Tahoma"/>
            <family val="2"/>
          </rPr>
          <t>"Advisory"</t>
        </r>
        <r>
          <rPr>
            <sz val="8"/>
            <rFont val="Tahoma"/>
            <family val="0"/>
          </rPr>
          <t xml:space="preserve"> under "Contributary"
C- is  called </t>
        </r>
        <r>
          <rPr>
            <b/>
            <u val="single"/>
            <sz val="8"/>
            <rFont val="Tahoma"/>
            <family val="2"/>
          </rPr>
          <t>Incidental</t>
        </r>
        <r>
          <rPr>
            <sz val="8"/>
            <rFont val="Tahoma"/>
            <family val="0"/>
          </rPr>
          <t xml:space="preserve"> :  These are managers that tend to gather information and to trend analysis and possibly some evaluation, but normally the real advice would come from their superiors. Consequently this job deals primarily with the past and only to a limited extent with the future,
</t>
        </r>
      </text>
    </comment>
    <comment ref="L23" authorId="0">
      <text>
        <r>
          <rPr>
            <sz val="8"/>
            <rFont val="Tahoma"/>
            <family val="0"/>
          </rPr>
          <t xml:space="preserve">Managers give advice on the basis that they have thought through issues, but it is  clearly up to line management whether this advice is accepted, amended or rejected. Again, they are clearly not part of the  decision making process. For C+ - look at the category </t>
        </r>
        <r>
          <rPr>
            <b/>
            <u val="single"/>
            <sz val="8"/>
            <rFont val="Tahoma"/>
            <family val="2"/>
          </rPr>
          <t>"Advisory"</t>
        </r>
        <r>
          <rPr>
            <sz val="8"/>
            <rFont val="Tahoma"/>
            <family val="0"/>
          </rPr>
          <t xml:space="preserve"> under "Contributary"
C- is  called </t>
        </r>
        <r>
          <rPr>
            <b/>
            <u val="single"/>
            <sz val="8"/>
            <rFont val="Tahoma"/>
            <family val="2"/>
          </rPr>
          <t>Incidental</t>
        </r>
        <r>
          <rPr>
            <sz val="8"/>
            <rFont val="Tahoma"/>
            <family val="0"/>
          </rPr>
          <t xml:space="preserve"> :  These are managers that tend to gather information and to trend analysis and possibly some evaluation, but normally the real advice would come from their superiors. Consequently this job deals primarily with the past and only to a limited extent with the future,
</t>
        </r>
      </text>
    </comment>
    <comment ref="L16" authorId="0">
      <text>
        <r>
          <rPr>
            <sz val="8"/>
            <rFont val="Tahoma"/>
            <family val="0"/>
          </rPr>
          <t xml:space="preserve">These are managers who do not take decisions on their own but are part of a team decision process where their right is not noticeably greater than any others and it could be  less than those of the inner management team. For S+ see the description </t>
        </r>
        <r>
          <rPr>
            <b/>
            <u val="single"/>
            <sz val="8"/>
            <rFont val="Tahoma"/>
            <family val="2"/>
          </rPr>
          <t>"Major"</t>
        </r>
        <r>
          <rPr>
            <sz val="8"/>
            <rFont val="Tahoma"/>
            <family val="0"/>
          </rPr>
          <t xml:space="preserve"> as  described under "Prime".
 S- is called </t>
        </r>
        <r>
          <rPr>
            <b/>
            <u val="single"/>
            <sz val="8"/>
            <rFont val="Tahoma"/>
            <family val="2"/>
          </rPr>
          <t>"Advisory":</t>
        </r>
        <r>
          <rPr>
            <sz val="8"/>
            <rFont val="Tahoma"/>
            <family val="0"/>
          </rPr>
          <t xml:space="preserve"> These managers seldom takes decisions  or are part of the decision making process. Their job is to think through problems and make  recommendations for action. It would be unusual for a management team to reject the proposals in principle, without very good reasons. "At your peril" denotes the importance of the advice which is expected from the position holder. An example could be a legal advisor with no line authority but who would be consulted on legal issues before others take decisions.
</t>
        </r>
      </text>
    </comment>
    <comment ref="L20" authorId="0">
      <text>
        <r>
          <rPr>
            <sz val="8"/>
            <rFont val="Tahoma"/>
            <family val="0"/>
          </rPr>
          <t xml:space="preserve">These are managers who do not take decisions on their own but are part of a team decision process where their right is not noticeably greater than any others and it could be  less than those of the inner management team. For S+ see the description </t>
        </r>
        <r>
          <rPr>
            <b/>
            <u val="single"/>
            <sz val="8"/>
            <rFont val="Tahoma"/>
            <family val="2"/>
          </rPr>
          <t>"Major"</t>
        </r>
        <r>
          <rPr>
            <sz val="8"/>
            <rFont val="Tahoma"/>
            <family val="0"/>
          </rPr>
          <t xml:space="preserve"> as  described under "Prime".
 S- is called </t>
        </r>
        <r>
          <rPr>
            <b/>
            <u val="single"/>
            <sz val="8"/>
            <rFont val="Tahoma"/>
            <family val="2"/>
          </rPr>
          <t>"Advisory":</t>
        </r>
        <r>
          <rPr>
            <sz val="8"/>
            <rFont val="Tahoma"/>
            <family val="0"/>
          </rPr>
          <t xml:space="preserve"> These managers seldom takes decisions  or are part of the decision making process. Their job is to think through problems and make  recommendations for action. It would be unusual for a management team to reject the proposals in principle, without very good reasons. "At your peril" denotes the importance of the advice which is expected from the position holder. An example could be a legal advisor with no line authority but who would be consulted on legal issues before others take decisions.
</t>
        </r>
      </text>
    </comment>
    <comment ref="L24" authorId="0">
      <text>
        <r>
          <rPr>
            <sz val="8"/>
            <rFont val="Tahoma"/>
            <family val="0"/>
          </rPr>
          <t xml:space="preserve">These are managers who do not take decisions on their own but are part of a team decision process where their right is not noticeably greater than any others and it could be  less than those of the inner management team. For S+ see the description </t>
        </r>
        <r>
          <rPr>
            <b/>
            <u val="single"/>
            <sz val="8"/>
            <rFont val="Tahoma"/>
            <family val="2"/>
          </rPr>
          <t>"Major"</t>
        </r>
        <r>
          <rPr>
            <sz val="8"/>
            <rFont val="Tahoma"/>
            <family val="0"/>
          </rPr>
          <t xml:space="preserve"> as  described under "Prime".
 S- is called </t>
        </r>
        <r>
          <rPr>
            <b/>
            <u val="single"/>
            <sz val="8"/>
            <rFont val="Tahoma"/>
            <family val="2"/>
          </rPr>
          <t>"Advisory":</t>
        </r>
        <r>
          <rPr>
            <sz val="8"/>
            <rFont val="Tahoma"/>
            <family val="0"/>
          </rPr>
          <t xml:space="preserve"> These managers seldom takes decisions  or are part of the decision making process. Their job is to think through problems and make  recommendations for action. It would be unusual for a management team to reject the proposals in principle, without very good reasons. "At your peril" denotes the importance of the advice which is expected from the position holder. An example could be a legal advisor with no line authority but who would be consulted on legal issues before others take decisions.
</t>
        </r>
      </text>
    </comment>
    <comment ref="L17" authorId="0">
      <text>
        <r>
          <rPr>
            <sz val="8"/>
            <rFont val="Tahoma"/>
            <family val="0"/>
          </rPr>
          <t xml:space="preserve">Infers sole  controlling impact on end results. S+ or P- is called </t>
        </r>
        <r>
          <rPr>
            <b/>
            <u val="single"/>
            <sz val="8"/>
            <rFont val="Tahoma"/>
            <family val="2"/>
          </rPr>
          <t>"Major:</t>
        </r>
        <r>
          <rPr>
            <sz val="8"/>
            <rFont val="Tahoma"/>
            <family val="0"/>
          </rPr>
          <t xml:space="preserve"> This is used where a manager takes most of the controlling deciaions himself within the delegated Freedom to Act but there will be occasions where the views of  his colleagues, who  could override him, have to be taken into account before decisions are finally taken. In another sense, they are the inner team, reporting to a very senior manager, who clearly is responsible for major policy making within that department and, equally clearly, it rules out certain managers who would not be consulted in every issue.</t>
        </r>
      </text>
    </comment>
    <comment ref="L21" authorId="0">
      <text>
        <r>
          <rPr>
            <sz val="8"/>
            <rFont val="Tahoma"/>
            <family val="0"/>
          </rPr>
          <t xml:space="preserve">Infers sole  controlling impact on end results. S+ or P- is called </t>
        </r>
        <r>
          <rPr>
            <b/>
            <u val="single"/>
            <sz val="8"/>
            <rFont val="Tahoma"/>
            <family val="2"/>
          </rPr>
          <t>"Major:</t>
        </r>
        <r>
          <rPr>
            <sz val="8"/>
            <rFont val="Tahoma"/>
            <family val="0"/>
          </rPr>
          <t xml:space="preserve"> This is used where a manager takes most of the controlling deciaions himself within the delegated Freedom to Act but there will be occasions where the views of  his colleagues, who  could override him, have to be taken into account before decisions are finally taken. In another sense, they are the inner team, reporting to a very senior manager, who clearly is responsible for major policy making within that department and, equally clearly, it rules out certain managers who would not be consulted in every issue.</t>
        </r>
      </text>
    </comment>
    <comment ref="L25" authorId="0">
      <text>
        <r>
          <rPr>
            <sz val="8"/>
            <rFont val="Tahoma"/>
            <family val="0"/>
          </rPr>
          <t xml:space="preserve">Infers sole  controlling impact on end results. S+ or P- is called </t>
        </r>
        <r>
          <rPr>
            <b/>
            <u val="single"/>
            <sz val="8"/>
            <rFont val="Tahoma"/>
            <family val="2"/>
          </rPr>
          <t>"Major:</t>
        </r>
        <r>
          <rPr>
            <sz val="8"/>
            <rFont val="Tahoma"/>
            <family val="0"/>
          </rPr>
          <t xml:space="preserve"> This is used where a manager takes most of the controlling deciaions himself within the delegated Freedom to Act but there will be occasions where the views of  his colleagues, who  could override him, have to be taken into account before decisions are finally taken. In another sense, they are the inner team, reporting to a very senior manager, who clearly is responsible for major policy making within that department and, equally clearly, it rules out certain managers who would not be consulted in every issue.</t>
        </r>
      </text>
    </comment>
    <comment ref="M29" authorId="0">
      <text>
        <r>
          <rPr>
            <b/>
            <sz val="8"/>
            <rFont val="Tahoma"/>
            <family val="0"/>
          </rPr>
          <t>Supervisor:</t>
        </r>
        <r>
          <rPr>
            <sz val="8"/>
            <rFont val="Tahoma"/>
            <family val="0"/>
          </rPr>
          <t xml:space="preserve">
Reality check</t>
        </r>
      </text>
    </comment>
    <comment ref="M30" authorId="0">
      <text>
        <r>
          <rPr>
            <b/>
            <sz val="8"/>
            <rFont val="Tahoma"/>
            <family val="0"/>
          </rPr>
          <t>Supervisor:</t>
        </r>
        <r>
          <rPr>
            <sz val="8"/>
            <rFont val="Tahoma"/>
            <family val="0"/>
          </rPr>
          <t xml:space="preserve">
Reality Check</t>
        </r>
      </text>
    </comment>
    <comment ref="M31" authorId="0">
      <text>
        <r>
          <rPr>
            <b/>
            <sz val="8"/>
            <rFont val="Tahoma"/>
            <family val="0"/>
          </rPr>
          <t>Supervisor:</t>
        </r>
        <r>
          <rPr>
            <sz val="8"/>
            <rFont val="Tahoma"/>
            <family val="0"/>
          </rPr>
          <t xml:space="preserve">
Reality Check</t>
        </r>
      </text>
    </comment>
    <comment ref="M32" authorId="0">
      <text>
        <r>
          <rPr>
            <b/>
            <sz val="8"/>
            <rFont val="Tahoma"/>
            <family val="0"/>
          </rPr>
          <t>Supervisor:</t>
        </r>
        <r>
          <rPr>
            <sz val="8"/>
            <rFont val="Tahoma"/>
            <family val="0"/>
          </rPr>
          <t xml:space="preserve">
Reality Check</t>
        </r>
      </text>
    </comment>
    <comment ref="M33" authorId="0">
      <text>
        <r>
          <rPr>
            <b/>
            <sz val="8"/>
            <rFont val="Tahoma"/>
            <family val="0"/>
          </rPr>
          <t>Supervisor:</t>
        </r>
        <r>
          <rPr>
            <sz val="8"/>
            <rFont val="Tahoma"/>
            <family val="0"/>
          </rPr>
          <t xml:space="preserve">
Reality Check</t>
        </r>
      </text>
    </comment>
    <comment ref="M34" authorId="0">
      <text>
        <r>
          <rPr>
            <b/>
            <sz val="8"/>
            <rFont val="Tahoma"/>
            <family val="0"/>
          </rPr>
          <t>Supervisor:</t>
        </r>
        <r>
          <rPr>
            <sz val="8"/>
            <rFont val="Tahoma"/>
            <family val="0"/>
          </rPr>
          <t xml:space="preserve">
Reality Check</t>
        </r>
      </text>
    </comment>
    <comment ref="M35" authorId="0">
      <text>
        <r>
          <rPr>
            <b/>
            <sz val="8"/>
            <rFont val="Tahoma"/>
            <family val="0"/>
          </rPr>
          <t>Supervisor:</t>
        </r>
        <r>
          <rPr>
            <sz val="8"/>
            <rFont val="Tahoma"/>
            <family val="0"/>
          </rPr>
          <t xml:space="preserve">
Reality Check</t>
        </r>
      </text>
    </comment>
    <comment ref="M36" authorId="0">
      <text>
        <r>
          <rPr>
            <b/>
            <sz val="8"/>
            <rFont val="Tahoma"/>
            <family val="0"/>
          </rPr>
          <t>Supervisor:</t>
        </r>
        <r>
          <rPr>
            <sz val="8"/>
            <rFont val="Tahoma"/>
            <family val="0"/>
          </rPr>
          <t xml:space="preserve">
Reality Check</t>
        </r>
      </text>
    </comment>
    <comment ref="N27" authorId="0">
      <text>
        <r>
          <rPr>
            <sz val="8"/>
            <rFont val="Tahoma"/>
            <family val="0"/>
          </rPr>
          <t xml:space="preserve">This figure indicates the nearest exact value as is found on the relevant HAY-table.
</t>
        </r>
      </text>
    </comment>
    <comment ref="F30" authorId="1">
      <text>
        <r>
          <rPr>
            <b/>
            <sz val="8"/>
            <rFont val="Tahoma"/>
            <family val="0"/>
          </rPr>
          <t>Magnitude corrector</t>
        </r>
        <r>
          <rPr>
            <sz val="8"/>
            <rFont val="Tahoma"/>
            <family val="0"/>
          </rPr>
          <t xml:space="preserve">
</t>
        </r>
      </text>
    </comment>
    <comment ref="K26" authorId="1">
      <text>
        <r>
          <rPr>
            <b/>
            <sz val="8"/>
            <rFont val="Tahoma"/>
            <family val="0"/>
          </rPr>
          <t xml:space="preserve">These two blocks should only be used if the magnitude of the project and the type of impact is specified in finer detail (e.g. 3-C+)
</t>
        </r>
        <r>
          <rPr>
            <sz val="8"/>
            <rFont val="Tahoma"/>
            <family val="0"/>
          </rPr>
          <t xml:space="preserve">
</t>
        </r>
      </text>
    </comment>
    <comment ref="J10" authorId="1">
      <text>
        <r>
          <rPr>
            <b/>
            <sz val="8"/>
            <rFont val="Tahoma"/>
            <family val="0"/>
          </rPr>
          <t>Rk350-622</t>
        </r>
        <r>
          <rPr>
            <sz val="8"/>
            <rFont val="Tahoma"/>
            <family val="0"/>
          </rPr>
          <t xml:space="preserve">
</t>
        </r>
      </text>
    </comment>
    <comment ref="J14" authorId="1">
      <text>
        <r>
          <rPr>
            <b/>
            <sz val="8"/>
            <rFont val="Tahoma"/>
            <family val="0"/>
          </rPr>
          <t>Rm 3.5-35</t>
        </r>
        <r>
          <rPr>
            <sz val="8"/>
            <rFont val="Tahoma"/>
            <family val="0"/>
          </rPr>
          <t xml:space="preserve">
</t>
        </r>
      </text>
    </comment>
    <comment ref="J18" authorId="1">
      <text>
        <r>
          <rPr>
            <b/>
            <sz val="8"/>
            <rFont val="Tahoma"/>
            <family val="0"/>
          </rPr>
          <t>RM35 - 350</t>
        </r>
        <r>
          <rPr>
            <sz val="8"/>
            <rFont val="Tahoma"/>
            <family val="0"/>
          </rPr>
          <t xml:space="preserve">
 </t>
        </r>
      </text>
    </comment>
    <comment ref="J22" authorId="1">
      <text>
        <r>
          <rPr>
            <b/>
            <sz val="8"/>
            <rFont val="Tahoma"/>
            <family val="0"/>
          </rPr>
          <t>RM350-  Rbn3.5</t>
        </r>
        <r>
          <rPr>
            <sz val="8"/>
            <rFont val="Tahoma"/>
            <family val="0"/>
          </rPr>
          <t xml:space="preserve">
</t>
        </r>
      </text>
    </comment>
  </commentList>
</comments>
</file>

<file path=xl/comments7.xml><?xml version="1.0" encoding="utf-8"?>
<comments xmlns="http://schemas.openxmlformats.org/spreadsheetml/2006/main">
  <authors>
    <author>Supervisor</author>
  </authors>
  <commentList>
    <comment ref="E9" authorId="0">
      <text>
        <r>
          <rPr>
            <sz val="8"/>
            <rFont val="Tahoma"/>
            <family val="0"/>
          </rPr>
          <t xml:space="preserve">This figure refers to the number of Hay-steps the difference between Accountability and Problemsolving represents
</t>
        </r>
      </text>
    </comment>
    <comment ref="D9" authorId="0">
      <text>
        <r>
          <rPr>
            <sz val="8"/>
            <rFont val="Tahoma"/>
            <family val="2"/>
          </rPr>
          <t xml:space="preserve">This  figure indicates whether Accountability or Problemsolving  dominates the job.
</t>
        </r>
      </text>
    </comment>
    <comment ref="L2" authorId="0">
      <text>
        <r>
          <rPr>
            <sz val="8"/>
            <rFont val="Tahoma"/>
            <family val="0"/>
          </rPr>
          <t xml:space="preserve">These  step values are used  to reflect the calculated values against. The  step-value closest to the calculated value is accepted and displayed as the "Hay table value" in the results further on.
</t>
        </r>
      </text>
    </comment>
  </commentList>
</comments>
</file>

<file path=xl/comments8.xml><?xml version="1.0" encoding="utf-8"?>
<comments xmlns="http://schemas.openxmlformats.org/spreadsheetml/2006/main">
  <authors>
    <author>KarelN</author>
  </authors>
  <commentList>
    <comment ref="N13" authorId="0">
      <text>
        <r>
          <rPr>
            <b/>
            <sz val="8"/>
            <rFont val="Tahoma"/>
            <family val="0"/>
          </rPr>
          <t>Communication indicator</t>
        </r>
        <r>
          <rPr>
            <sz val="8"/>
            <rFont val="Tahoma"/>
            <family val="0"/>
          </rPr>
          <t xml:space="preserve">
</t>
        </r>
      </text>
    </comment>
  </commentList>
</comments>
</file>

<file path=xl/sharedStrings.xml><?xml version="1.0" encoding="utf-8"?>
<sst xmlns="http://schemas.openxmlformats.org/spreadsheetml/2006/main" count="1026" uniqueCount="666">
  <si>
    <t xml:space="preserve"> Direct &amp; Detailed Instructions</t>
  </si>
  <si>
    <t>Instructions &amp;  Work Routines</t>
  </si>
  <si>
    <t>Standardised Practices  Procedures, General work instr, Supervision of progress &amp; results</t>
  </si>
  <si>
    <t>Practices, Procedures, Precedents, Policies, Manegerial Control, Review of progress &amp; results</t>
  </si>
  <si>
    <t>Broad Practices &amp; Procedures, Policies, Functional Management direction</t>
  </si>
  <si>
    <t>Manage-ment General Direction</t>
  </si>
  <si>
    <t>Top Manage- ment Guidance</t>
  </si>
  <si>
    <t>Nominal</t>
  </si>
  <si>
    <t>Moderate</t>
  </si>
  <si>
    <t>Major</t>
  </si>
  <si>
    <t>Critical</t>
  </si>
  <si>
    <t>Prime</t>
  </si>
  <si>
    <t>Remote</t>
  </si>
  <si>
    <t>Contributory</t>
  </si>
  <si>
    <t>Shared</t>
  </si>
  <si>
    <t/>
  </si>
  <si>
    <t>13</t>
  </si>
  <si>
    <t>&lt;=Rm0.1</t>
  </si>
  <si>
    <t>&lt;=Rm0.3</t>
  </si>
  <si>
    <t>INDETERMINATE =&gt;&gt; NO BUDGET RESPONSIBILITY</t>
  </si>
  <si>
    <t>BUDGET RESPONSIBILITY</t>
  </si>
  <si>
    <t>What is the importance of the job, or if a budget is involved , the relationship to the budget?</t>
  </si>
  <si>
    <t>&lt;=Rm1</t>
  </si>
  <si>
    <t>&lt;=Rm3</t>
  </si>
  <si>
    <t>&lt;=Rm10</t>
  </si>
  <si>
    <t>&lt;=Rm30</t>
  </si>
  <si>
    <t>&lt;=Rm100</t>
  </si>
  <si>
    <t>&lt;=Rm300</t>
  </si>
  <si>
    <t>&lt;=Rm1000</t>
  </si>
  <si>
    <t>&lt;=Rm3000</t>
  </si>
  <si>
    <t>Question No</t>
  </si>
  <si>
    <t>1</t>
  </si>
  <si>
    <t>Scoping</t>
  </si>
  <si>
    <t>Scoping Table</t>
  </si>
  <si>
    <t>Breadth of management</t>
  </si>
  <si>
    <t>Freedom to Think</t>
  </si>
  <si>
    <t>Thinking Challenge</t>
  </si>
  <si>
    <t>Freedom to Act</t>
  </si>
  <si>
    <t>Type of Impact</t>
  </si>
  <si>
    <t>Purpose of the Job:</t>
  </si>
  <si>
    <t>Human Relation Skills: 1, 2 or 3 =&gt;</t>
  </si>
  <si>
    <t>57% :Responsible for determining functional strategy, either in technical environment where the incumbent is free standing or where the rate of change is constantly demanding. The incumbent is expected to come up with new ways of doing things (macro)</t>
  </si>
  <si>
    <t>50%: Responsible for determining functional policy, tactical optimisation, heavy judgement. Vague and broad complex issues are to be identified and solutions to be found which normally require policy changes and a change in the functional framework. Determines  ultimate strategy within broad thinking parameters.</t>
  </si>
  <si>
    <t>43% : Implements change and innovations initiated by a superior; Complex issue handling which requires risk judgement, may need to change functional environment. Time frames are often longer than a year.. A 43% is given the strategy for an area and works out how to implement it. Know-how must be greater than E+. Determining to do the right things.</t>
  </si>
  <si>
    <t>38% : Do things right. Recommends and implements change. Part of team working on change. Time-frame normally less than a year. Typically works on sub-projects or significant issues in a significant function, but not on complete plan for the area. Extrapolate beyond the merely existing.</t>
  </si>
  <si>
    <t>33% : Thinking within a clear cut policy based environment - within area of things learned. Optimised current systems and procedures.</t>
  </si>
  <si>
    <t>29% : Optimise efficiently by setting priorities in large or complex areas, e.g. Supervisor in a technical environment.</t>
  </si>
  <si>
    <t>25% : Thinking within environment with straightforward systems and procedures in place; First line supervisor</t>
  </si>
  <si>
    <t>22% : Simplest procedures. Supervisor in a low technology environment.</t>
  </si>
  <si>
    <t>19% : First time judgement is required, which is limited to making adjustments; On occasion the job is simple system orientated, but the solution is clear.</t>
  </si>
  <si>
    <t>16% : Routine jobs with some variety and supervision.</t>
  </si>
  <si>
    <t>14% : Routine jobs with limited variety and more strictly controlled.</t>
  </si>
  <si>
    <t>12% : Simple jobs, few changes</t>
  </si>
  <si>
    <t>10% : Simple jobs, no changes</t>
  </si>
  <si>
    <r>
      <t xml:space="preserve">E                 </t>
    </r>
    <r>
      <rPr>
        <b/>
        <sz val="14"/>
        <rFont val="Arial"/>
        <family val="2"/>
      </rPr>
      <t>Basic Professional</t>
    </r>
  </si>
  <si>
    <r>
      <t xml:space="preserve">H             </t>
    </r>
    <r>
      <rPr>
        <b/>
        <sz val="14"/>
        <rFont val="Arial"/>
        <family val="2"/>
      </rPr>
      <t>Unique Authority</t>
    </r>
  </si>
  <si>
    <r>
      <t>A</t>
    </r>
    <r>
      <rPr>
        <b/>
        <sz val="12"/>
        <rFont val="Arial"/>
        <family val="2"/>
      </rPr>
      <t xml:space="preserve">        Prescribed</t>
    </r>
  </si>
  <si>
    <r>
      <t>B</t>
    </r>
    <r>
      <rPr>
        <b/>
        <sz val="12"/>
        <rFont val="Arial"/>
        <family val="2"/>
      </rPr>
      <t xml:space="preserve">        Controlled</t>
    </r>
  </si>
  <si>
    <r>
      <t>C</t>
    </r>
    <r>
      <rPr>
        <b/>
        <sz val="12"/>
        <rFont val="Arial"/>
        <family val="2"/>
      </rPr>
      <t xml:space="preserve">      Standardised</t>
    </r>
  </si>
  <si>
    <r>
      <t xml:space="preserve">D      </t>
    </r>
    <r>
      <rPr>
        <b/>
        <sz val="12"/>
        <rFont val="Arial"/>
        <family val="2"/>
      </rPr>
      <t xml:space="preserve"> Regulated</t>
    </r>
  </si>
  <si>
    <r>
      <t xml:space="preserve">E             </t>
    </r>
    <r>
      <rPr>
        <b/>
        <sz val="12"/>
        <rFont val="Arial"/>
        <family val="2"/>
      </rPr>
      <t>Directed</t>
    </r>
  </si>
  <si>
    <r>
      <t xml:space="preserve">G </t>
    </r>
    <r>
      <rPr>
        <b/>
        <sz val="12"/>
        <rFont val="Arial"/>
        <family val="2"/>
      </rPr>
      <t>Management Guidance</t>
    </r>
  </si>
  <si>
    <r>
      <t xml:space="preserve">F          </t>
    </r>
    <r>
      <rPr>
        <b/>
        <sz val="12"/>
        <rFont val="Arial"/>
        <family val="2"/>
      </rPr>
      <t>Generally directed</t>
    </r>
  </si>
  <si>
    <t>BOM Correction</t>
  </si>
  <si>
    <t>DOK Corretion</t>
  </si>
  <si>
    <t>Interpo-lasie kolom</t>
  </si>
  <si>
    <t>Interpo lation</t>
  </si>
  <si>
    <t>Do you want to do a  rough-cut evaluation? Yes?       -----&gt;&gt;&gt;</t>
  </si>
  <si>
    <r>
      <t>0</t>
    </r>
    <r>
      <rPr>
        <b/>
        <sz val="12"/>
        <rFont val="Arial"/>
        <family val="2"/>
      </rPr>
      <t xml:space="preserve"> Indeterminate  </t>
    </r>
  </si>
  <si>
    <r>
      <t xml:space="preserve">No of </t>
    </r>
    <r>
      <rPr>
        <b/>
        <sz val="14"/>
        <rFont val="Arial"/>
        <family val="2"/>
      </rPr>
      <t>"+"</t>
    </r>
  </si>
  <si>
    <r>
      <t xml:space="preserve">No of </t>
    </r>
    <r>
      <rPr>
        <b/>
        <sz val="14"/>
        <rFont val="Arial"/>
        <family val="2"/>
      </rPr>
      <t xml:space="preserve"> "-"</t>
    </r>
  </si>
  <si>
    <t>Fine Tuning</t>
  </si>
  <si>
    <t>Fine tuning corrector</t>
  </si>
  <si>
    <t>(Calculated)</t>
  </si>
  <si>
    <t>Total:</t>
  </si>
  <si>
    <t>The HAY Parameters of the Job :</t>
  </si>
  <si>
    <t>Short Profile:Initial Choice:</t>
  </si>
  <si>
    <t>Short profile: As evaluated:</t>
  </si>
  <si>
    <t>Notes by the Evaluator: Add any remaining notes on the yellow portion.</t>
  </si>
  <si>
    <t>2. Rough-cut analysis</t>
  </si>
  <si>
    <t>3. Depth of Knowledge</t>
  </si>
  <si>
    <t>4. Breadth of Management</t>
  </si>
  <si>
    <t>5. Freedom to Think</t>
  </si>
  <si>
    <t>6. Thinking Challenge</t>
  </si>
  <si>
    <t>7. Cross checking Problem Solving percentages</t>
  </si>
  <si>
    <t>8. Freedom to Act</t>
  </si>
  <si>
    <t>9. Area and Type of Impact</t>
  </si>
  <si>
    <t>10. Quality Control  checks</t>
  </si>
  <si>
    <t>11. Summary report</t>
  </si>
  <si>
    <t>1. This model has been developed by Karel Nel. Contact 082-414 4881 with questions / suggestions.</t>
  </si>
  <si>
    <t>2. The model is based on mathematical calculations, and the results of these are then rounded to the nearest exact HAY table value.</t>
  </si>
  <si>
    <t>Execute the following steps:</t>
  </si>
  <si>
    <r>
      <t>Problem solving :</t>
    </r>
    <r>
      <rPr>
        <b/>
        <i/>
        <u val="single"/>
        <sz val="18"/>
        <color indexed="10"/>
        <rFont val="Arial"/>
        <family val="2"/>
      </rPr>
      <t xml:space="preserve"> </t>
    </r>
    <r>
      <rPr>
        <b/>
        <sz val="14"/>
        <color indexed="10"/>
        <rFont val="Arial"/>
        <family val="2"/>
      </rPr>
      <t>Analyse the Freedom to Think first, and thereafter the Thinking Challenge. Make only ONE selection in each of the  yellow areas. Thereafter also please type  the co-ordinates of the choices you made in the appropriate blocks. Thereafter do the cross-check test, and redo the analysis if necessary.</t>
    </r>
  </si>
  <si>
    <t>Usual relationships:</t>
  </si>
  <si>
    <t>Instructions for evaluation:</t>
  </si>
  <si>
    <r>
      <t>Short Profile Selection:</t>
    </r>
    <r>
      <rPr>
        <b/>
        <sz val="16"/>
        <color indexed="10"/>
        <rFont val="Arial"/>
        <family val="2"/>
      </rPr>
      <t xml:space="preserve"> Please select one of the following Categories for the Job by putting a "X" in the appropriate position under the "Selection" column.</t>
    </r>
  </si>
  <si>
    <t>2+</t>
  </si>
  <si>
    <t>4=</t>
  </si>
  <si>
    <t>3S</t>
  </si>
  <si>
    <t>Index values:</t>
  </si>
  <si>
    <t>Date of Printout</t>
  </si>
  <si>
    <t>1+</t>
  </si>
  <si>
    <t>3=</t>
  </si>
  <si>
    <t>0D</t>
  </si>
  <si>
    <t>1=</t>
  </si>
  <si>
    <t xml:space="preserve"> Hay-Evaluation Summary Report</t>
  </si>
  <si>
    <t>G-</t>
  </si>
  <si>
    <t>G=</t>
  </si>
  <si>
    <t>G+</t>
  </si>
  <si>
    <t>H-</t>
  </si>
  <si>
    <t>H=</t>
  </si>
  <si>
    <t>H+</t>
  </si>
  <si>
    <t>0-</t>
  </si>
  <si>
    <t>0=</t>
  </si>
  <si>
    <t>1-</t>
  </si>
  <si>
    <t>2-</t>
  </si>
  <si>
    <t>2=</t>
  </si>
  <si>
    <t>3-</t>
  </si>
  <si>
    <t>3+</t>
  </si>
  <si>
    <t>4-</t>
  </si>
  <si>
    <t>4+</t>
  </si>
  <si>
    <t>11+</t>
  </si>
  <si>
    <t>5=</t>
  </si>
  <si>
    <t>5+</t>
  </si>
  <si>
    <t>0A</t>
  </si>
  <si>
    <t>0B</t>
  </si>
  <si>
    <t>0C</t>
  </si>
  <si>
    <t>0E</t>
  </si>
  <si>
    <t>1R</t>
  </si>
  <si>
    <t>1C</t>
  </si>
  <si>
    <t>1S</t>
  </si>
  <si>
    <t>1P</t>
  </si>
  <si>
    <t>2R</t>
  </si>
  <si>
    <t>2C</t>
  </si>
  <si>
    <t>2S</t>
  </si>
  <si>
    <t>2P</t>
  </si>
  <si>
    <t>3R</t>
  </si>
  <si>
    <t>3C</t>
  </si>
  <si>
    <t>3P</t>
  </si>
  <si>
    <t>4R</t>
  </si>
  <si>
    <t>4C</t>
  </si>
  <si>
    <t>4S</t>
  </si>
  <si>
    <t>4P</t>
  </si>
  <si>
    <t>Indexes</t>
  </si>
  <si>
    <r>
      <t>Know-how:</t>
    </r>
    <r>
      <rPr>
        <b/>
        <sz val="14"/>
        <color indexed="10"/>
        <rFont val="Arial"/>
        <family val="2"/>
      </rPr>
      <t xml:space="preserve"> Analyse the Depth of Knowledge first, and thereafter the Breadth of Management. Make only ONE selection in each of the yellow areas. Thereafter also please type  the co-ordinates of the choices you made in the appropriate blocks at the bottom.</t>
    </r>
  </si>
  <si>
    <r>
      <t xml:space="preserve">Accountability: </t>
    </r>
    <r>
      <rPr>
        <b/>
        <sz val="14"/>
        <color indexed="10"/>
        <rFont val="Arial"/>
        <family val="2"/>
      </rPr>
      <t xml:space="preserve">Analyse the Freedom to Act first, and thereafter the Area and Type of Impact.Make only ONE selection in each of the  yellow areas. Thereafter also please type  the co-ordinates of the choices you made in the appropriate blocks at the bottom. </t>
    </r>
  </si>
  <si>
    <t>Broad bands: ARMSCOR</t>
  </si>
  <si>
    <r>
      <t xml:space="preserve">1   </t>
    </r>
    <r>
      <rPr>
        <b/>
        <sz val="12"/>
        <rFont val="Arial"/>
        <family val="2"/>
      </rPr>
      <t xml:space="preserve">               Very Small  &lt;Rk622=(1-)  &lt;RM1.97=(1=)  &lt;RM3.5=(1+)</t>
    </r>
  </si>
  <si>
    <r>
      <t xml:space="preserve">2  </t>
    </r>
    <r>
      <rPr>
        <b/>
        <sz val="12"/>
        <rFont val="Arial"/>
        <family val="2"/>
      </rPr>
      <t xml:space="preserve">               Small &lt;RM6.2=(2-)  &lt;RM19.7=(2=) &lt;RM35=(2+)</t>
    </r>
  </si>
  <si>
    <r>
      <t xml:space="preserve">3    </t>
    </r>
    <r>
      <rPr>
        <b/>
        <sz val="12"/>
        <rFont val="Arial"/>
        <family val="2"/>
      </rPr>
      <t xml:space="preserve">                 Medium &lt;RM62=(3-) &lt;RM197=(3=) &lt;RM350=(3+)</t>
    </r>
  </si>
  <si>
    <r>
      <t xml:space="preserve">4   </t>
    </r>
    <r>
      <rPr>
        <b/>
        <sz val="12"/>
        <rFont val="Arial"/>
        <family val="2"/>
      </rPr>
      <t xml:space="preserve">                  Large &lt;RM620=(4-) &lt;Rbn1.97=(4=) &lt;Rbn3.5=(4+)</t>
    </r>
  </si>
  <si>
    <t>Freedom to think</t>
  </si>
  <si>
    <t>Thinking challenge</t>
  </si>
  <si>
    <t>Freedom to act</t>
  </si>
  <si>
    <t>Area &amp; Type of Impact</t>
  </si>
  <si>
    <t>Jobs requiring the performance of basic manual or machine related functions.</t>
  </si>
  <si>
    <t>Simple automated manual tasks. Work is learned by continuous repetition. The individual will have the ability to follow simple instructions. Physical is more important than past experience. The job can be learned in a matter of hours. Employ hands and feet. Endurance may be important. Oral instruction.</t>
  </si>
  <si>
    <t xml:space="preserve"> Performance of a task(s) highly specific as to objective and content and not involving the supervision of others</t>
  </si>
  <si>
    <t>This symbol is virtually never used. The indivual will only have  1 or 2 simple tasks. Time horizon is in minutes.</t>
  </si>
  <si>
    <t>Thinking within detailed rules, instructions and/or rigid supervision.</t>
  </si>
  <si>
    <t>The "what" of the job is  precisely laid down</t>
  </si>
  <si>
    <t>Identical situations requiring solution by simple choice of things learned</t>
  </si>
  <si>
    <t>One task is  carried out every few seconds with no deviations</t>
  </si>
  <si>
    <t>These jobs are subject to direct and detailed instructions</t>
  </si>
  <si>
    <t>Not Finances related</t>
  </si>
  <si>
    <t>Provision of incidental services for use by others in relation to some important end result.</t>
  </si>
  <si>
    <t>Perform several basic, simple tasks with limited variation, usually learned by demonstration and within a day. The supervisor schedules the work and the incumbent follows instructions. The individual is very task oriented. Physical fitness can often be a requirement for the position</t>
  </si>
  <si>
    <t>Job holders who have a time-frame of thinking less than one hour are  evaluated at this level. Usually handles 3 to 5 similar tasks under direct instruction. Time horizon up to an hour.</t>
  </si>
  <si>
    <t>Variety of simple tasks rather than one task or supervision is less intense.</t>
  </si>
  <si>
    <t>A few tasks may be carried out, thus a slightly wider variety of simple options must be learned and vigorously applied. It often involves moving around a building</t>
  </si>
  <si>
    <t>can only carry out direct and detailed instructions. Must have fresh instructions for each task. There is no discretion and strict supervision.</t>
  </si>
  <si>
    <t>Operation or maintenance  of plant or equipment. Provision of support services usually of an informational or recording nature within a department.</t>
  </si>
  <si>
    <t>Performs several straightforward tasks which are closely related, but different. Needs to understand the basic schedule of the work, and can complete tasks without receiving detailed instructions for each task. Training is one week.</t>
  </si>
  <si>
    <t>Job holders who have time-frames of thinking less than a shift's duration. These people are frequently required to move around the premises and perform different, but simple tasks. The number of different tasks  could be between 6 and 8. Time horizon  is within the same day.</t>
  </si>
  <si>
    <t>Thinking within standard instructions and/or continious close supervision</t>
  </si>
  <si>
    <t>The method of how things are to be done may not be changed, but the order in which they may be doen may be changed. There may be less supervision, ad-hoc rather than ongoing</t>
  </si>
  <si>
    <t>Similar situaltions requiring solutions by discriminating choice of things learned.</t>
  </si>
  <si>
    <t>Learned solutions: The problems are easy to identify and exact solutions can be applied in a few minutes. Solutions are learned  off by heart either through training or experience and are applied to a situation. The solutions can only be right or wrong - no grey areas.</t>
  </si>
  <si>
    <t>carries out work within detailed instructions. The work may include  a number of cloesely related tasks and the individual has the right to decide on thesequence of tasks, but may not vary the procedure.</t>
  </si>
  <si>
    <t>Operation of a separate production unit, or shared operation as a member of a team working on an important production unit.</t>
  </si>
  <si>
    <t>Jobs requiring familiarisation in uninvolved, standardised work routines and/or use of simple equipment and machines</t>
  </si>
  <si>
    <t>Performs a number of relatively simple tasks brought together in a routine. Learns the job by demonstration, reinforced by experience. Initial training not more than 2 weeks. Supervision is by exception, with the supervisor readily available to provide guidance if required. The incumbent will have a basic understanding of routines.</t>
  </si>
  <si>
    <t xml:space="preserve"> Performance or Supervision of an activity which is specific as to objective and content, with appropriate awareness of related activities</t>
  </si>
  <si>
    <t>Job holders with a thinking horizon which is day to day. Experienced shift-operators often fall into this slot. Junior clerks allocated daily work and closely supervised also fit into this category.</t>
  </si>
  <si>
    <t>Entry and competent clerical levels</t>
  </si>
  <si>
    <t>Slight adjustments can be made within approved methods of working. Extra thought is required and this may involve a longer time horizon, possibly more than an hour. Uses discretion in handling people. At times  may need to search for an answer.</t>
  </si>
  <si>
    <t>These jobs are subject to instructions and established  work routines</t>
  </si>
  <si>
    <t>Carries out work within simple, well defined routines with the discretion to move from one task to another, as the flow dictates, but may not vary the procedure.</t>
  </si>
  <si>
    <t>Operation of a critical production unit. Provision of support service, usually of an advisory or diagnostic nature, or supervision of a small work team involved with routine work.</t>
  </si>
  <si>
    <t>Routine jobs. The individual will fully understand the routine and rely on  very little supervision. Routines will cover a number of tasks, or  fewer complicated tasks. The individual could operate a medium complexity machine, and make minor adjustments to it, but would not be required to set it up completely. The machine will dictate the quality of the final product. Training = 1 month.</t>
  </si>
  <si>
    <t>Fully autonomous  clerical positions, first line supervisors and junior management jobs are found at this breadth. Non-supervisory jobs which gave to liase with other sub-functions of the organisation. Supervises a work group. Thinks in the short term e.g. up to  3 months ahead.</t>
  </si>
  <si>
    <t>Thinking within well-defined procedures and precedents, somewhat diversified, and/or supervised.</t>
  </si>
  <si>
    <t>The incumbent has to think within systems. Generally, whilst possibly diversified, these are well established, written down and capable of only one interpretation. Semi-routine jobs.</t>
  </si>
  <si>
    <t>Differing situations requiring the identification and selection of solutions through the application of acquired knowledge within the area of things learned.</t>
  </si>
  <si>
    <t>Judgement. Past precedents inhibits any approach beyond well known limits. However there are a wide range of  problems to be solved. Time frames seldom exceed 3 months, except at annual planning time. He does not know the answer immediately, but will know the right answer when it has been found. Research will result in readily implementable solutions, which may however take some time to find.</t>
  </si>
  <si>
    <t>Freedom to act infers taking actions within a well established wor routine with the discretion to overcome minor variances, but relying on supervision guidance for non-standard situations.</t>
  </si>
  <si>
    <t>Control of a small department involving responsibility for work of others. A significant impact upon a key area.</t>
  </si>
  <si>
    <t>Routine starts to become more complex and take on elements of procedure. Literacy and numeracy are taken for granted at this level. The individual can be taught the job in 6 weeks, and be expected to affect the quantity and quality of the end product, although the supervisor retains all responsibility. Entry level of clerical or craft. What is done  and when becomes important. Typical Grade 10.</t>
  </si>
  <si>
    <t>Entry to management level, effectiveness starts, makes an input into plans. Will be very aware  of the impact of his job on other parts of the organisation. Expected to give input to departmental planning. Time horizon of up to 6 months. Advises on specific subject matter as to what improved performance looks like and recommends changes to be made.</t>
  </si>
  <si>
    <t>Problems are more numerous, difficult and the superior gives less supervision.</t>
  </si>
  <si>
    <t>The incumbent is expected to extrapolate along the general thrust. The time frame is often 3-6 months ahead, but there will still be many day-to-day issues to be tackled. The incumbent will be on the border of directly implementable solutions, and those where some risk must be taken. He will extrapolate from the known into the required area, and recommend options and alternatives with the pros and cons explained.</t>
  </si>
  <si>
    <t>Freedom to act is subject to set, fairly complex routine, but selecting an approved optimal, appropriate method rather than an exact one is expected. The individual may make minor adjustments as appropriate for the situation.</t>
  </si>
  <si>
    <t>&lt;RM3.5</t>
  </si>
  <si>
    <t>Informational, recording or incidental service for use by others in relation to some important end result.</t>
  </si>
  <si>
    <t>These people collect information about evidence in the past and record what has happened. It is not part of their job to make any recommendations as to future action. In practice it is more usual to evaluate such positions as having non financial impact. For R+ see "Incidental" under "Contributory"</t>
  </si>
  <si>
    <t>Jobs requiring procedural or systematic proficiency, which may involve facility in the use of specialised equipment</t>
  </si>
  <si>
    <t>The ability to work with simple procedures (Sets of routines) The individual will still lack procedural ability and will rely on the supervisor for assistance in this regard The individual's performance will have a direct impact on the quantity and quality of the end product. A school leaver is usually well suited at this level. Entry level for learner craftsmen. Gr 12.</t>
  </si>
  <si>
    <t>Reference &amp; Date of Job Description</t>
  </si>
  <si>
    <t xml:space="preserve">3. This model was developed based on training and training material supplied by P3 Management Consultants and due credit is herewith given to them for the fact </t>
  </si>
  <si>
    <t>Rev 10.0</t>
  </si>
  <si>
    <t>OR</t>
  </si>
  <si>
    <r>
      <t>ONLY IF</t>
    </r>
    <r>
      <rPr>
        <b/>
        <sz val="10"/>
        <rFont val="Arial"/>
        <family val="2"/>
      </rPr>
      <t xml:space="preserve"> a budget is involved, what is the magnitude of  the annual budget?</t>
    </r>
  </si>
  <si>
    <t>Scoping: This worksheet serves only to give the evaluator an indication of the different parameter ratings and  is not meant to give an accurate evaluation</t>
  </si>
  <si>
    <t>Karel's QuickHay .</t>
  </si>
  <si>
    <r>
      <t>Please rate the following job paramenters  by placing a CAPITAL "X" in the appropriate boxes. By filling out this form an indicator ("o") will be placed at the approximate position in the different Hay tables, which must then be either overtyped with an "X" if correct, or  deleted and an "X" entered at the proper position.</t>
    </r>
    <r>
      <rPr>
        <b/>
        <sz val="14"/>
        <color indexed="10"/>
        <rFont val="Arial"/>
        <family val="2"/>
      </rPr>
      <t xml:space="preserve"> NB: Once overtyping has taken place, the formula relating to this table is destroyed!!</t>
    </r>
  </si>
  <si>
    <t>Internal integration of operations which are relatively homogeneous in nature and objective which involve  external co-ordination and integration of plans with associated functions.</t>
  </si>
  <si>
    <t>Manager of a  department where the real integration is often the final responsibility of the superior. An individual contributor who starts to make judgements with medium term impacts. Time horizon 6 months to 1 year. A Staff role at this level advises the organisation on an area or subject of a  cross-functional nature.</t>
  </si>
  <si>
    <t>Thinking within substantially diversified, established company procedures and standards, and general supervision.</t>
  </si>
  <si>
    <t>Many and diverse problems are tackled within customary methods of approach, which may not be written down. Substantially diversified procedures and specialised standards. Thinking is based either an indepth understanding of procedures and precedents or  on a strong theoretical knowledge</t>
  </si>
  <si>
    <t>Situations requiring evaluative, analytical, interpretive and/or constructive thinking and a significant degree of evaluation judgement.</t>
  </si>
  <si>
    <t>Next Step</t>
  </si>
  <si>
    <t>Risk. The thinking horizon is often dealing with issues up to 2 years ahead. The issues may be complex, but ongoing in nature. Risk is inherent in forming the optimum or most practicable solution. Uses experience/ acumen to propose sound solution because ther is no clearly correct solution. The incumbent is seen as the selector of best opinion/ author of best solutions. If academic/research, the incumbent will be working in the area of new knowledge basing his research on similar research that has been conducted. Presedents are very vague and difficult to relate to the present circumstances.</t>
  </si>
  <si>
    <t>These jobs are subject , wholly or in part, to standardised practices and procedures; general work instructions; supervision of progress and results.</t>
  </si>
  <si>
    <t>Freedom to act is subject to simple procedure, which needs to be fully understood. The system will be relatively straightforward, and limited in variety. A little discretion is expected to select optimal solutiopns.</t>
  </si>
  <si>
    <t>Interpretive, advisory or facilitating services for use by others in taking action</t>
  </si>
  <si>
    <t>Managers give advice on the basis that they have thought through issues, but it is  clearly up to line management whether this advice is accepted, amended or rejected. Again, they are clearly not part of the  decision making process. For C+ - look at the category "Advisory" under "Contributary"</t>
  </si>
  <si>
    <t>Ability to perform a wide range of procedures within a single clerical or craft area, which are clearly documented. Acts confidently and independently. May use equipment, and with knowledge, add value through the way equipment is used. Often associated with competent clerks/ secretaries who perform support functions.</t>
  </si>
  <si>
    <t>Manager who thinks 12-18 months ahead. A manager of a single function department who integrates dissimilar work of the people under him Functional co-ordinator). A staff role at this level has significant impact over large parts of the organisation, definitely across major functional borders, and will impact on key policies and plans.</t>
  </si>
  <si>
    <t>Problems are more technical and more complex, and the "how' of the job becomes flexible, which also infers inability to change anything radically without the superior's permission. Expected, however, to play tunes within the status quo, I.e. can provide harmony but not change the music score.</t>
  </si>
  <si>
    <t>The time horison generally becomes longer, often 5-7 years ahead. The issues to be faced are often  fundamentally different in nature; The words 'nebulous and intangible' begin to be applicable.</t>
  </si>
  <si>
    <t>Freedom to act in well established situations. Must understand the system well before taking decision. Must choose the most appropriate solution for various situations within the parameters that apply, using experience as a guide.</t>
  </si>
  <si>
    <t>C- is  called Incidental :  These are managers that tend to gather information and to trend analysis and possibly some evaluation, but normally the real advice would come from their superiors. Consequently this job deals primarily with the past and only to a limited extent with the future,</t>
  </si>
  <si>
    <t>Procedural or systematic proficiency in a homogeneous clerical/ craft area. Either the individual will handle a few tasks of some complexity and be able to affect high quality standards, or will have broad clerical knowledge, good human relations skills, and the ability to suprevise and train (on the job) junior staff. If applicable, the individual will use equipment to produce high quality outputs. Training = 1 year.</t>
  </si>
  <si>
    <t>Entry into General management level. Line Manager of a large and complex department. Time horizon 2-3 years. A staff role at this level handles important issues of major strategic importance.</t>
  </si>
  <si>
    <t>Thinking within clearly defined company policies, principles and specific objectives, under eadily available direction.</t>
  </si>
  <si>
    <t>Functional Policy Implementer. The "what" of the job is clearly defined and the "how" is left to the job holder who has  readily available access to advice on approaches to solve problems from an executive.</t>
  </si>
  <si>
    <t>Parameter Description of the Job</t>
  </si>
  <si>
    <t>Novel or non-recurring pathfinding situations requiring the development of new concepts and imaginative approaches.</t>
  </si>
  <si>
    <t>Pioneering work to find new techniques. No precedent anywhere in the world that can be used as a reference. Research is based on ideas rather than building on existing research.</t>
  </si>
  <si>
    <t>Make decisions  which are beginning to be complex within the set system for the area of work. The individual has the latitude to choose an effective route to achieving results, in parameters, and may for the first time make decisions outside the pure black and white.</t>
  </si>
  <si>
    <t>Jointly accountable with another or others (not own subordinates and superior) within or outside of the organisation unit, in taking action and exercising a controlling impact on end results.</t>
  </si>
  <si>
    <t>These are managers who do not take decisions on their own but are part of a team decision process where their right is not noticeably greater than any others and it could be  less than those of the inner management team. For S+ see the description "Major" as  described under "Prime".</t>
  </si>
  <si>
    <t>Broad knowledge of area in which the incumbent operates gained through experience. This could also be the start level for degrees and diplomas where the study has readies the individual for the position. Often  a full supervisor, or a skilled clerical/ staff position (Could apply to first level newly qualified artisans or to supervisory positions of some complexity, or to degreed positions such as a recruitment officer)</t>
  </si>
  <si>
    <t>Operation or conceptual integration of functions which are diverse in nature and objective in an important management area, or central co-ordination of an important function</t>
  </si>
  <si>
    <t>Executives over a large unit with its own policies and strategies in place.</t>
  </si>
  <si>
    <t>The problems are more complex. Because of the complexity the incumbent strongly influences departmental functional policies. Thus the incumbent is required to be more self-sufficient. Direction is unclear and a solution has to be  found using new concepts.</t>
  </si>
  <si>
    <t>These jobs are subject, wholly or in part, to practices and procedures which have clear precedents or are covered by closely defined policies, managerial control, regular review of progress and results.  Entry into management</t>
  </si>
  <si>
    <t>Makes decisions based on an expert understanding of the system, and uses discretion based on past experience (precedent) in order to optimally match the solution to the situation. Beginning to understand the spirit of the policy and procedure rather than applying it strictly</t>
  </si>
  <si>
    <t xml:space="preserve"> S- is called "Advisory": These managers seldom takes decisions  or are part of the decision making process. Their job is to think through problems and make  recommendations for action. It would be unusual for a management team to reject the proposals in principle, without very good reasons. "At your peril" denotes the importance of the advice which is expected from the position holder. An example could be a legal advisor with no line authority but who would be consulted on legal issues before others take decisions.</t>
  </si>
  <si>
    <t>The person  has become an expert on existing systems through long experience or through the study and appropriate experience that has made the individual "job ready". Incumbents at this level are considered highly skilled, and be a source of information for junior staff. Often applied to Diplomate levels such as artisan or Bookkeeper or the start point for business oriented degrees. First level foreman. Training 3-5 years.</t>
  </si>
  <si>
    <t xml:space="preserve"> General Management level: Manager who manages othe managers with competing interests such as marketing and credit control functions. He is an  operational co-ordinator. 400-500 staff members. Makes his own functional strategy.</t>
  </si>
  <si>
    <t>Required to formulate functional or departmental policies to achieve agreed goals. Here the "what" of the job is partially determined by the incumbent. Strong accent on tactical optimisation, with more operational than strategic issues to resolve. Strong functional strategy formulation forms part of the job.</t>
  </si>
  <si>
    <t>12. Parameter Description report</t>
  </si>
  <si>
    <t>Profile:</t>
  </si>
  <si>
    <t>NOTES:</t>
  </si>
  <si>
    <t>Top Management</t>
  </si>
  <si>
    <t>Decisions become diverse and are covered by policies and precedents  rather than  procedures and practices (I.e. custom rather than written rules). Decisions made in spirit of the procedure rather than the words.</t>
  </si>
  <si>
    <t>Controlling impact on end results, where shared accountability with others is subordinate.</t>
  </si>
  <si>
    <t>Infers sole  controlling impact on end results. S+ or P- is called "Major: This is used where a manager takes most of the controlling deciaions himself within the delegated Freedom to Act but there will be occasions where the views of  his colleagues, who  could override him, have to be taken into account before decisions are finally taken. In another sense, they are the inner team, reporting to a very senior manager, who clearly is responsible for major policy making within that department and, equally clearly, it rules out certain managers who would not be consulted in every issue.</t>
  </si>
  <si>
    <t>Jobs requiring some specialised skill gained by 'on the job' experience or through part professional qualification.</t>
  </si>
  <si>
    <t>The individual is recognised as a fundi on existing methods, usually in a  complex area. No one in the company will kow more about existing methods than this individual. Whilst not a requirement, this level will also recommend changes to management. Could also be a business degree/ science degree where the degree  allows the individual to fill a  complex position almost immediately. Possible examples include Hitech foreman, Accountant, Professional Officers) Training more than 5 years. This is the management divide.</t>
  </si>
  <si>
    <t>dependent on the size, complexity and maturity of the unit managed, or the independence of conceptual thought in a staff function.</t>
  </si>
  <si>
    <t>The accent becomes more tactical/strategic and the issues more complex. Determines  functional/ business units' strategic direction. Often the incumbent is the specialist source of knowledge and thus guidnace may come from outside the organisation e.g. Academics. Thinking can be based on business  requiremts and expert tecnology.</t>
  </si>
  <si>
    <t>The individual works within the spirit of the procedures, and is able to optimise the way things are done. When faced with problems, the individual may improvise by adapting acceptable unconventional methods to overcome the problem</t>
  </si>
  <si>
    <t>Rm 3.5-35</t>
  </si>
  <si>
    <t>Jobs requiring sufficiency in a trchnical or specialised field involving an understanding of theoretical principles normally gained through a professional or scientific qualification or through a detailed grasp of involved practices and procedures.</t>
  </si>
  <si>
    <t>Not usually used. Transitory position between non-management and management positions, I.e.  Spanning position. Also used  for 4 years BSc degrees where the nature of the position requires them to recommend new ways of doing things.</t>
  </si>
  <si>
    <t xml:space="preserve"> Integration of major functions in an operating complex, or Group-wide co-ordination of a strategic function which significantly affects corporate planning or operations.</t>
  </si>
  <si>
    <t>Thinking within general policies, princliples and goals unde guidance.</t>
  </si>
  <si>
    <t>These jobs are subject to broad practice and procedures covered by functional precedents and policies; Ahievement of a circumscribed operational activity; Functional Management direction (Implementation)</t>
  </si>
  <si>
    <t>Can wobble down the middle of the road. Only minor changes can be made withou reference to the superior.</t>
  </si>
  <si>
    <t>Person with knowledge and understanding of principles to enable him to implement change. Usually Manager or Professional - could be degreed and 3 years of experience. Time-frame of working could be  3 months or longer. Daily issues must be received. Needs experience and common sense. This level is usually about a person who has learned the theory and had the time to develop understanding regarding the practice, or a highly experienced person who has developed an understanding of the theory underpinning his areas of expertise. Srategy 0%, Operational 70%, Tactical 30%. (Manager, Branch Manager, up to 50 sub-ordinates, Systems Analyst)</t>
  </si>
  <si>
    <t>The Individual is responsible for integrating an entire  complex organisation. Progression upwards depends on organisational size and complexity. For a MD the management breadth would be close to the company magnitude if he is in total control. If a mother company retain control of the financials, the management breadth will fall back a step, and the control of senior appointments would result in a further step back. Evaluations in this group should always be referred for QA check.</t>
  </si>
  <si>
    <t>Is free to act independently as long as objectives will be met within the parameters laid down.</t>
  </si>
  <si>
    <t>Requires a lot of experience and is closely involved  with the implementation of change. Degree + 7 years experience or possibly non-degree with extensive (15 years ) of experience. Cut-off position for non-degreed people.</t>
  </si>
  <si>
    <t>Thinking within business philosophy and/or principles controlling human affairs.</t>
  </si>
  <si>
    <t>Although bound by parameters, these may exceeded but always kept in mind. This infers for the first time making decisions which go beyons existing policies and thus the incumbent must be aware of the risks involved. The incumbent is expected  to improve how the major function/ organisation operates.</t>
  </si>
  <si>
    <t>Jobs requiring proficiency in a  technical, scientific or specialised field gained through broad and deep experience built on concepts and principles, or through wide exposure to complex practices and precedents.</t>
  </si>
  <si>
    <t>Degree plus 10 years experience. It is critical that the manager has business acumen, or the specialist becomes a technical expert in an area</t>
  </si>
  <si>
    <t>Communication skills</t>
  </si>
  <si>
    <t>These jobs, by the nature of their size, are broadly subject to functional policies and objectives and Management general direction.</t>
  </si>
  <si>
    <t>Incumbent is entrusted to implement strategy which is primarily owned by the owner board. (Our master wants - we make it happen)</t>
  </si>
  <si>
    <t>Functional Policy maker top of Senior Management or bottom of General Management. Degree + 15 years of experience. Strategy 15%, Operational 50%, Tactical 35%. A specialist at this level will be a leading light in his area of expertise in the country.</t>
  </si>
  <si>
    <t>Normal communicatiopn skills are required.</t>
  </si>
  <si>
    <t>The incumbent becomes jointly involved in setting strategy with owner board - "our strategy" ("My turf")</t>
  </si>
  <si>
    <t>Functional expert with business acumen (size could also play a role). General Management levels. Usually associated with a degree and 20years of experience. Often MBA. As a specialist this person will be seen as a national authority in his industry (Invited to present papers at national level)</t>
  </si>
  <si>
    <t>Communication skills are very important for the job</t>
  </si>
  <si>
    <t>The incumbent decides on strategy within broad principles/ parameters. "My strategy". Keep owner board informed. (I decide it all and make sure it is done)</t>
  </si>
  <si>
    <t>RM35 - 350</t>
  </si>
  <si>
    <t>Jobs requiring determinative mastery of concepts, principles and practices gained through deep development in a highly specialised firld or through comprehensive business experience.</t>
  </si>
  <si>
    <t>Business acumen plus functional expertise. Big picture people wit international networks.</t>
  </si>
  <si>
    <t>Communiation skills are of overriding importance and vital</t>
  </si>
  <si>
    <t>These jobs are inherently subject to Group policies and long-range objectives, and Top Management guidance. (Mission control)</t>
  </si>
  <si>
    <t>Managing Director or General Manager. Usually more than 1000 subordinates. Strategy 30%, Operational 20%, tactical 50%</t>
  </si>
  <si>
    <t>Normally used only for top level expertise in a scientific or other learned discipline who is of such technical depth as to merit recognition of unique competence well beyond the confines of the company. National/ International Expert. Recognised Authority. Seldom found amongst businessmen who just do not have the time to embark on the level of research needed to attain this level of know-how.</t>
  </si>
  <si>
    <t>Jobs requiring unique command of principles, theories and practices in scientific or learned disciplines.</t>
  </si>
  <si>
    <t>RM350-  Rbn3.5</t>
  </si>
  <si>
    <t>Profile</t>
  </si>
  <si>
    <t>Emphasis</t>
  </si>
  <si>
    <t>A4</t>
  </si>
  <si>
    <t>A3</t>
  </si>
  <si>
    <t>A2</t>
  </si>
  <si>
    <t>A1</t>
  </si>
  <si>
    <t>L</t>
  </si>
  <si>
    <t>P1</t>
  </si>
  <si>
    <t>P2</t>
  </si>
  <si>
    <t>P3</t>
  </si>
  <si>
    <t>P4</t>
  </si>
  <si>
    <t>Achieve or else; Repetetive work; Definite end results must be achieved</t>
  </si>
  <si>
    <t>Make end results happen; Driven by objectives; Manage achievement of results</t>
  </si>
  <si>
    <t>Staff role; deadlines; Implement and monitor line support systems and procedures.</t>
  </si>
  <si>
    <t>Staff role- specialist; Analyse and recommend systems and procedures; Manage implementation; Record and provide information</t>
  </si>
  <si>
    <t>Analyse and advise; Extrapolate information</t>
  </si>
  <si>
    <t>Applied research (Start with hypothesis)</t>
  </si>
  <si>
    <t>Analyst; Analyse and develop (Original work)</t>
  </si>
  <si>
    <t>Basic research (Develop hypothesis)</t>
  </si>
  <si>
    <t>Blue sky research (Results will allow others to develop hypothesis)</t>
  </si>
  <si>
    <t>Function type</t>
  </si>
  <si>
    <t>Line</t>
  </si>
  <si>
    <t>Staff</t>
  </si>
  <si>
    <t>Development</t>
  </si>
  <si>
    <t>Applications Research</t>
  </si>
  <si>
    <t>Pure Research</t>
  </si>
  <si>
    <t>Orientation</t>
  </si>
  <si>
    <t>Action</t>
  </si>
  <si>
    <t>Level</t>
  </si>
  <si>
    <t>Thinking</t>
  </si>
  <si>
    <t>Examples</t>
  </si>
  <si>
    <t>Selection</t>
  </si>
  <si>
    <t>Operator, Cleaner, Security Guard</t>
  </si>
  <si>
    <t>Executives, Managers, Supervisors</t>
  </si>
  <si>
    <t>Clerical staff, HR staff</t>
  </si>
  <si>
    <t>Quality Assurance; Auditor</t>
  </si>
  <si>
    <t>The short Profile for the job you have chosen is :</t>
  </si>
  <si>
    <t>+</t>
  </si>
  <si>
    <t>=</t>
  </si>
  <si>
    <t>-</t>
  </si>
  <si>
    <t>Notes</t>
  </si>
  <si>
    <t>Selected  Value</t>
  </si>
  <si>
    <t>Selected Value</t>
  </si>
  <si>
    <t>Please Type in the Co-ordinate choices:</t>
  </si>
  <si>
    <t>Practical Skills and procedures</t>
  </si>
  <si>
    <t>Specialised techniques</t>
  </si>
  <si>
    <t>Scientific Disciplines</t>
  </si>
  <si>
    <t>Punch card  operator.</t>
  </si>
  <si>
    <t>Internal messenger, Pool typist</t>
  </si>
  <si>
    <t>Audio typist, Inexperienced clerks, Telophonist, Telefax operator, Computer operator, Stores assistant.</t>
  </si>
  <si>
    <t>Specialists, if they have little business, project or commercial responsibilities eg an medical doctor.Librarian, Industrial nurse, Programmer, Computer operator, Secretary, Experienced clerks, Recruitment officer, Cashier, Chauffer, Teller, Bookkeeper, Security officer, Maintenance technician, Storeman</t>
  </si>
  <si>
    <t>Assistant manager, Junior Manager, Senior Personnel Officer, Senior Control Officer, Senior supervisor of a simple but large department,</t>
  </si>
  <si>
    <t>Systems Manager, Data base administrator, Deputy head Security, Senior Control Officer, Administration Manager in medium to large branch.</t>
  </si>
  <si>
    <t>Branch Manager, Senior Admin manager, senior Systems manager, Investments portfolio manager, Head personnel administration, medium to large  Departmental manager.</t>
  </si>
  <si>
    <t>Assistant general manager in small and less complex firma, Some senior managers may be  at this level.</t>
  </si>
  <si>
    <t>Assistant general manager in Banking and Human resources.</t>
  </si>
  <si>
    <t>General manager of a large Organisation.</t>
  </si>
  <si>
    <t>Managing Director, Chief Executive Officer; Executive Chairman.</t>
  </si>
  <si>
    <t>Gardener, Tea lady</t>
  </si>
  <si>
    <t>Security guard</t>
  </si>
  <si>
    <t>Receptionist; Entry level for artisans, Electricians assistants</t>
  </si>
  <si>
    <t>Junior secretary, Switch board operators</t>
  </si>
  <si>
    <t>Wage clerk, Electrician, Secretary, Fitter and turner</t>
  </si>
  <si>
    <t>Senior secretary. Artisan in production area</t>
  </si>
  <si>
    <t>Engineers , Accountants, Heads of Departments</t>
  </si>
  <si>
    <t>H. Abstractly defined.</t>
  </si>
  <si>
    <t>B.   Routine</t>
  </si>
  <si>
    <t>F.    Broadly Defined</t>
  </si>
  <si>
    <t>E.       Clearly defined</t>
  </si>
  <si>
    <t xml:space="preserve">A        Strict Routine     </t>
  </si>
  <si>
    <t>C.         Semi Routine</t>
  </si>
  <si>
    <t>D. Standard-ised</t>
  </si>
  <si>
    <t>G    Generally defined</t>
  </si>
  <si>
    <t>1.    Repetitive</t>
  </si>
  <si>
    <t>2. Patterened</t>
  </si>
  <si>
    <t>5. Uncharted</t>
  </si>
  <si>
    <t>Freedom to Think : E.g E+</t>
  </si>
  <si>
    <t>Thinking Challenge : E.g. 2+</t>
  </si>
  <si>
    <r>
      <t>A</t>
    </r>
    <r>
      <rPr>
        <b/>
        <sz val="14"/>
        <rFont val="Arial"/>
        <family val="2"/>
      </rPr>
      <t xml:space="preserve">            Primary</t>
    </r>
  </si>
  <si>
    <r>
      <t>B</t>
    </r>
    <r>
      <rPr>
        <b/>
        <sz val="14"/>
        <rFont val="Arial"/>
        <family val="2"/>
      </rPr>
      <t xml:space="preserve">        Elementary Vocational</t>
    </r>
  </si>
  <si>
    <r>
      <t>C</t>
    </r>
    <r>
      <rPr>
        <b/>
        <sz val="14"/>
        <rFont val="Arial"/>
        <family val="2"/>
      </rPr>
      <t xml:space="preserve">      Vocational</t>
    </r>
  </si>
  <si>
    <r>
      <t xml:space="preserve">D      </t>
    </r>
    <r>
      <rPr>
        <b/>
        <sz val="14"/>
        <rFont val="Arial"/>
        <family val="2"/>
      </rPr>
      <t xml:space="preserve"> Advanced Vocational</t>
    </r>
  </si>
  <si>
    <r>
      <t xml:space="preserve">G </t>
    </r>
    <r>
      <rPr>
        <b/>
        <sz val="14"/>
        <rFont val="Arial"/>
        <family val="2"/>
      </rPr>
      <t>Professional Mastery</t>
    </r>
  </si>
  <si>
    <r>
      <t xml:space="preserve">F     </t>
    </r>
    <r>
      <rPr>
        <b/>
        <sz val="14"/>
        <rFont val="Arial"/>
        <family val="2"/>
      </rPr>
      <t>Seasoned Professional</t>
    </r>
  </si>
  <si>
    <t>0.                           Task</t>
  </si>
  <si>
    <t>I                         Activity</t>
  </si>
  <si>
    <t>II.            Homogeneous</t>
  </si>
  <si>
    <r>
      <t>III           Heterogeneous</t>
    </r>
    <r>
      <rPr>
        <sz val="10"/>
        <rFont val="Arial"/>
        <family val="2"/>
      </rPr>
      <t>.</t>
    </r>
  </si>
  <si>
    <t>IV                         Broad</t>
  </si>
  <si>
    <t>3.      Variable</t>
  </si>
  <si>
    <t>4.      Adaptive</t>
  </si>
  <si>
    <t>Tea lady, Data preparations operator, Filing clerk, Post Room clerk,Guard, Floor attendant, Duplicating machine operator, Production process operator</t>
  </si>
  <si>
    <t>Press operator, Production process operator</t>
  </si>
  <si>
    <t>Security guard, Messenger/driver, Receptionist, Telephone operator, Filing clerk, Typist clerk</t>
  </si>
  <si>
    <t>Secretary, Pay-roll clerk, Credit Control Officer, Carpenter</t>
  </si>
  <si>
    <t>Highly confidential secretary, Electrician, Programmer in training, Senior Administration officer, Senior clerk (forex)</t>
  </si>
  <si>
    <t>Supervisor, Technician, Personnel Officer, Programmer, Secretary to CEO, Caterer, Admin officer for complex area, Staff nurse.</t>
  </si>
  <si>
    <t>Entry into management levels; Senior  Administrationl Officer for large and complex area, senior Supervisor, Assistant Administration Manager.</t>
  </si>
  <si>
    <t>Branch Manager, departmental Manager of large Unit, Head of security, Investments, Portfolio manager, Head Personnel Administration, Financial manager, Systems Consultant, Data Base Administrator, Senior Personnel Officer, senior Software Programmer,</t>
  </si>
  <si>
    <t>Points:</t>
  </si>
  <si>
    <t>Senior Managers, General Manager.</t>
  </si>
  <si>
    <t>Senior Economist, AGM complex area</t>
  </si>
  <si>
    <t>Deputy General Managers vith a necessary high degree of independent thought.</t>
  </si>
  <si>
    <t>Cleaner, Canteen dishwasher</t>
  </si>
  <si>
    <t>Form packer, Tea person, Fork-lift driver, Internal messenger.</t>
  </si>
  <si>
    <t>Routine clerk, Word Processor Operator, Junior Telephonist, Chauffeur</t>
  </si>
  <si>
    <t>Girl Friday, Cost Clerk, Reactive secretary, Head Cashier.</t>
  </si>
  <si>
    <t>Artisan, Branch Accountant, Senior Administration Officer, Assistant Manager.</t>
  </si>
  <si>
    <t>Printing Manager, Branch manager (Mainly retail business), Product manager (Marketing), Industrial relations Manager.</t>
  </si>
  <si>
    <t>Senior manager, Senior Economist, Junior Executive.</t>
  </si>
  <si>
    <t>Executive, Chief International Economist</t>
  </si>
  <si>
    <t>Now please cross-correlate the percentage with the normative descriptions given above to the right.</t>
  </si>
  <si>
    <t>Outside the normal range on the high side, Please check again</t>
  </si>
  <si>
    <t>2. Depth of Knowledge</t>
  </si>
  <si>
    <t>4. Thinking Environment : Freedom to Think</t>
  </si>
  <si>
    <t>5. Thinking Challenge</t>
  </si>
  <si>
    <t>6. Cross-check Problem Solving Percentages.</t>
  </si>
  <si>
    <t>Compare the job description with the 3 descriptions below. It should align with the middle description. If not, review the Problem Solving analysis please.</t>
  </si>
  <si>
    <t>7. Freedom to Act</t>
  </si>
  <si>
    <t>8. Area and Type of Impact</t>
  </si>
  <si>
    <r>
      <t xml:space="preserve">A    </t>
    </r>
    <r>
      <rPr>
        <sz val="8"/>
        <rFont val="Arial"/>
        <family val="2"/>
      </rPr>
      <t>Nominal</t>
    </r>
  </si>
  <si>
    <r>
      <t xml:space="preserve">B   </t>
    </r>
    <r>
      <rPr>
        <b/>
        <sz val="8"/>
        <rFont val="Arial"/>
        <family val="2"/>
      </rPr>
      <t xml:space="preserve"> </t>
    </r>
    <r>
      <rPr>
        <sz val="8"/>
        <rFont val="Arial"/>
        <family val="2"/>
      </rPr>
      <t>Moderate</t>
    </r>
  </si>
  <si>
    <r>
      <t xml:space="preserve">C     </t>
    </r>
    <r>
      <rPr>
        <sz val="8"/>
        <rFont val="Arial"/>
        <family val="2"/>
      </rPr>
      <t>Major</t>
    </r>
  </si>
  <si>
    <r>
      <t xml:space="preserve">D     </t>
    </r>
    <r>
      <rPr>
        <sz val="8"/>
        <rFont val="Arial"/>
        <family val="2"/>
      </rPr>
      <t>Critical</t>
    </r>
  </si>
  <si>
    <r>
      <t xml:space="preserve">R   </t>
    </r>
    <r>
      <rPr>
        <sz val="8"/>
        <rFont val="Arial"/>
        <family val="2"/>
      </rPr>
      <t xml:space="preserve">  Remote</t>
    </r>
  </si>
  <si>
    <r>
      <t xml:space="preserve">C    </t>
    </r>
    <r>
      <rPr>
        <sz val="8"/>
        <rFont val="Arial"/>
        <family val="2"/>
      </rPr>
      <t>Contributory</t>
    </r>
  </si>
  <si>
    <r>
      <t xml:space="preserve">E        </t>
    </r>
    <r>
      <rPr>
        <sz val="8"/>
        <rFont val="Arial"/>
        <family val="2"/>
      </rPr>
      <t xml:space="preserve"> Prime</t>
    </r>
  </si>
  <si>
    <r>
      <t xml:space="preserve">S      </t>
    </r>
    <r>
      <rPr>
        <sz val="8"/>
        <rFont val="Arial"/>
        <family val="2"/>
      </rPr>
      <t>Shared</t>
    </r>
  </si>
  <si>
    <r>
      <t xml:space="preserve">P     </t>
    </r>
    <r>
      <rPr>
        <sz val="8"/>
        <rFont val="Arial"/>
        <family val="2"/>
      </rPr>
      <t>Prime</t>
    </r>
  </si>
  <si>
    <t>Note: Magnitude should be doubled for multi-dimensional companies.</t>
  </si>
  <si>
    <t>Freedom to Act : E.g E+</t>
  </si>
  <si>
    <t>Area and Type of Impact : E.g. 2C</t>
  </si>
  <si>
    <t>The Hay Parameters are</t>
  </si>
  <si>
    <t>Check whether:</t>
  </si>
  <si>
    <t>&gt;=</t>
  </si>
  <si>
    <t>If not, re-assess please</t>
  </si>
  <si>
    <t>Type of Job:</t>
  </si>
  <si>
    <t>Compare with Short Profile</t>
  </si>
  <si>
    <t>Name of Job to be evaluated:</t>
  </si>
  <si>
    <t>Present Incumbent (If applicable)</t>
  </si>
  <si>
    <t>Date of Evaluation:</t>
  </si>
  <si>
    <t>Evaluator:</t>
  </si>
  <si>
    <t>Cross-checked By:</t>
  </si>
  <si>
    <t>Reference of Job Description</t>
  </si>
  <si>
    <t>Determine Short Profile</t>
  </si>
  <si>
    <t>1. Short Profile</t>
  </si>
  <si>
    <t>Analyse Know How</t>
  </si>
  <si>
    <t>Analyse  Problem Solving</t>
  </si>
  <si>
    <t>Analyse Accountability</t>
  </si>
  <si>
    <t>Do Quality Control Checks</t>
  </si>
  <si>
    <t>Tea person, Postroom Clerk, Filing clerk</t>
  </si>
  <si>
    <t>Mail messenger, Sorter, Filing clerk, Data input clerk, Copy typist.</t>
  </si>
  <si>
    <t>Senior Postroom clerk, Photostat machine operator, Copy typist, Outside messenger, Customer service Officer</t>
  </si>
  <si>
    <t>Entry level for clerks e.g. data control clerk, Word Processor Operator, Audio typist, Chauffeur, Security guard, teller</t>
  </si>
  <si>
    <t>Intermediate competent clerk, Senior security Guard, telephonist/ Receptionist</t>
  </si>
  <si>
    <t>Head cashier, First level of senior clerk, Experienced Maintenance handyman, Assistant Security Officer, Girl Friday.</t>
  </si>
  <si>
    <t>Word Processor Supervisor, Senior Clerk e.g. Wages/Salaries Clerk, Secretary, Recruitment Officer, Staff Nurse, Maintenance Electrician, Security officer.</t>
  </si>
  <si>
    <t>Programmer, Experienced Confidential secretary, Personnel Officer, Senior Control Officer, Senior security Officer.</t>
  </si>
  <si>
    <t>Librarian, Intermediate level Supervisor, Admin Officer, Caterer, Analyst Programmer</t>
  </si>
  <si>
    <t>Senior level Supervisor, Control Officer, Information Co-ordinator.</t>
  </si>
  <si>
    <t>Entry and intermediate levels  for Management. Computer systems manager, Senior Personnel Officer, Admin Manager.</t>
  </si>
  <si>
    <t>Lower Middle management, Chief of security, Admin Manager, Investmennt portfolio manager, Head Personnel Administration, Finnancial manager, Data Base Administrator</t>
  </si>
  <si>
    <t>Upper middle Management, Senior Manager Administration, Senior Systems manager.</t>
  </si>
  <si>
    <t>Senior Management, Some AGMs where top management review is stringently applied; In this case it reflects the authority of a specialist rather than the manegerial freedom to act.</t>
  </si>
  <si>
    <t>Assistant general managers, Head of small but specialised function.</t>
  </si>
  <si>
    <t>Divisional general Managers</t>
  </si>
  <si>
    <t>General Managers</t>
  </si>
  <si>
    <t>Consolidation</t>
  </si>
  <si>
    <t>9. Quality Control Cross-checking</t>
  </si>
  <si>
    <t>Job Title:</t>
  </si>
  <si>
    <t>Know-how:</t>
  </si>
  <si>
    <t>Problem Solving</t>
  </si>
  <si>
    <t>Accountability:</t>
  </si>
  <si>
    <t>Comparison with superior/ subordinate</t>
  </si>
  <si>
    <t>Superior</t>
  </si>
  <si>
    <t>Subordinate</t>
  </si>
  <si>
    <t>Problem solving - should be:</t>
  </si>
  <si>
    <t>Accountability - should be:</t>
  </si>
  <si>
    <t>This position</t>
  </si>
  <si>
    <t>Notes: Any special notes that may be applicable</t>
  </si>
  <si>
    <t>Compare with the  ranking below. Do you feel satisfied with the relative  standing of this position?</t>
  </si>
  <si>
    <t>JOB NAME</t>
  </si>
  <si>
    <t>Hay Units</t>
  </si>
  <si>
    <t>President of the US</t>
  </si>
  <si>
    <t>Entry level to management</t>
  </si>
  <si>
    <t>Blue Collar workers</t>
  </si>
  <si>
    <t>Executive level starts</t>
  </si>
  <si>
    <t>Engineering entry level</t>
  </si>
  <si>
    <t>Competent Engineer</t>
  </si>
  <si>
    <t>Outstanding engineer</t>
  </si>
  <si>
    <t>Graduate entry</t>
  </si>
  <si>
    <t>CEO SA Airways</t>
  </si>
  <si>
    <t>CEO Armscor</t>
  </si>
  <si>
    <t>Note: If the applicability of your choice is not confimed in the  lines below, please reconsider carefully.</t>
  </si>
  <si>
    <t>Usual Relationship Check: Know How and Problem Solving percentage.</t>
  </si>
  <si>
    <t>Usual Relationship Check: Breadth of management and Freedom to Act</t>
  </si>
  <si>
    <t>Line function</t>
  </si>
  <si>
    <t>Staff Function</t>
  </si>
  <si>
    <t>Research</t>
  </si>
  <si>
    <t>If not comparable, re-assess please. Please note that A0 or P0 should be overtyped as L</t>
  </si>
  <si>
    <t>Note: Fill out the yellow areas on all sheets please.</t>
  </si>
  <si>
    <t>Short Profile</t>
  </si>
  <si>
    <t>(KH)</t>
  </si>
  <si>
    <t>(PS)</t>
  </si>
  <si>
    <t>(ACC)</t>
  </si>
  <si>
    <t>Developed by KPJ Nel Pr Eng</t>
  </si>
  <si>
    <t>Remarks:</t>
  </si>
  <si>
    <t>Ready Reconer</t>
  </si>
  <si>
    <t>How many Hay-steps are</t>
  </si>
  <si>
    <t>from this value?:</t>
  </si>
  <si>
    <t>Answer:</t>
  </si>
  <si>
    <t>this value (bigger):</t>
  </si>
  <si>
    <t>ANSWER:</t>
  </si>
  <si>
    <t>The  Proposed (Calculated) Hay Value is:</t>
  </si>
  <si>
    <t>Step Values</t>
  </si>
  <si>
    <t>Checked?</t>
  </si>
  <si>
    <t>The Hay Table Value is:</t>
  </si>
  <si>
    <t>3. Breadth of Management : Planning Organising Controlling including Human Relation Skills</t>
  </si>
  <si>
    <t>knkn</t>
  </si>
  <si>
    <t>Chief Executive Officer</t>
  </si>
  <si>
    <t>General Manager</t>
  </si>
  <si>
    <t>Senior Manager</t>
  </si>
  <si>
    <t>Manager/ Team leader</t>
  </si>
  <si>
    <t>Program Manager</t>
  </si>
  <si>
    <t>Project Manager</t>
  </si>
  <si>
    <t>Organisational relationships</t>
  </si>
  <si>
    <t>&gt;1960</t>
  </si>
  <si>
    <t>Score: Calculated</t>
  </si>
  <si>
    <t>Table</t>
  </si>
  <si>
    <t>Table values</t>
  </si>
  <si>
    <t>Waarde=</t>
  </si>
  <si>
    <t>Calculated score for Problem Solving :</t>
  </si>
  <si>
    <t>Table score for Problem Solving :</t>
  </si>
  <si>
    <t>Table %</t>
  </si>
  <si>
    <t>Table PSU</t>
  </si>
  <si>
    <t>Score : Calculated</t>
  </si>
  <si>
    <t>Table Value</t>
  </si>
  <si>
    <t>The closests  exact HAY Table step values are:</t>
  </si>
  <si>
    <t>from this value (smaller)?:</t>
  </si>
  <si>
    <t>1600 - 2112 ?</t>
  </si>
  <si>
    <t>1216 - 1600 ?</t>
  </si>
  <si>
    <t xml:space="preserve">  920 -  1216 ?</t>
  </si>
  <si>
    <t xml:space="preserve">   528 -   700 ?</t>
  </si>
  <si>
    <t xml:space="preserve">   400 -   528 ?</t>
  </si>
  <si>
    <t>EX</t>
  </si>
  <si>
    <t>&gt;1200</t>
  </si>
  <si>
    <t>SU</t>
  </si>
  <si>
    <t>900 - 1200</t>
  </si>
  <si>
    <t>MP</t>
  </si>
  <si>
    <t>500 - 900</t>
  </si>
  <si>
    <t>STS</t>
  </si>
  <si>
    <t>300 - 500</t>
  </si>
  <si>
    <t>AS</t>
  </si>
  <si>
    <t>160 - 300</t>
  </si>
  <si>
    <t>OS</t>
  </si>
  <si>
    <t>57   - 160</t>
  </si>
  <si>
    <t>The Hay Table Value indicates that the post is in the:</t>
  </si>
  <si>
    <t>D-</t>
  </si>
  <si>
    <t>D+</t>
  </si>
  <si>
    <t>E-</t>
  </si>
  <si>
    <t>E+</t>
  </si>
  <si>
    <t>F-</t>
  </si>
  <si>
    <t>F+</t>
  </si>
  <si>
    <t>E=</t>
  </si>
  <si>
    <t>F=</t>
  </si>
  <si>
    <t>A-</t>
  </si>
  <si>
    <t>A=</t>
  </si>
  <si>
    <t>A+</t>
  </si>
  <si>
    <t>B-</t>
  </si>
  <si>
    <t>B=</t>
  </si>
  <si>
    <t>B+</t>
  </si>
  <si>
    <t>C-</t>
  </si>
  <si>
    <t>C=</t>
  </si>
  <si>
    <t>C+</t>
  </si>
  <si>
    <t>Credibility Check: Depth of Knowledge and Breadth of management.</t>
  </si>
  <si>
    <t>Depth of Knowledge : E.g E+ :</t>
  </si>
  <si>
    <t>Breadth of management : E.g. III= and HR factor apart:</t>
  </si>
  <si>
    <t>I-</t>
  </si>
  <si>
    <t>0+</t>
  </si>
  <si>
    <t>I+</t>
  </si>
  <si>
    <t>I=</t>
  </si>
  <si>
    <t>II-</t>
  </si>
  <si>
    <t>Depth of Knowledge vs Breadth of Management Combination:</t>
  </si>
  <si>
    <t>D=</t>
  </si>
  <si>
    <t>Know-how vs Problem Solving Combination:</t>
  </si>
  <si>
    <t>IV+</t>
  </si>
  <si>
    <t>III+</t>
  </si>
  <si>
    <t>III=</t>
  </si>
  <si>
    <t>IV=</t>
  </si>
  <si>
    <t>II+</t>
  </si>
  <si>
    <t>II=</t>
  </si>
  <si>
    <t>Breadth of Management vs Freedom to Act Combination:</t>
  </si>
  <si>
    <t>Preferably these  tests must read "Combination Sound"</t>
  </si>
  <si>
    <t xml:space="preserve">   608 -   920 ?</t>
  </si>
  <si>
    <t>OK</t>
  </si>
  <si>
    <t>Depth of Knowledge</t>
  </si>
  <si>
    <t>Question:</t>
  </si>
  <si>
    <t>Choice</t>
  </si>
  <si>
    <t>Pick up the figure</t>
  </si>
  <si>
    <t>Interpretation</t>
  </si>
  <si>
    <t>To what extent is the job action  or thinking oriented?</t>
  </si>
  <si>
    <t>What are the qualifications needed for the job?</t>
  </si>
  <si>
    <t>Unskilled</t>
  </si>
  <si>
    <t>Gr 10</t>
  </si>
  <si>
    <t>Gr 12</t>
  </si>
  <si>
    <t>Cert 3</t>
  </si>
  <si>
    <t>Dipl 3</t>
  </si>
  <si>
    <t>Dipl 4</t>
  </si>
  <si>
    <t>B Deg</t>
  </si>
  <si>
    <t>M Deg</t>
  </si>
  <si>
    <t>PhD</t>
  </si>
  <si>
    <t>PhD+</t>
  </si>
  <si>
    <t>How much  relevant experience or extra training are needed for the job?</t>
  </si>
  <si>
    <t>1 day</t>
  </si>
  <si>
    <t>1 week</t>
  </si>
  <si>
    <t>1 month</t>
  </si>
  <si>
    <t>6 months</t>
  </si>
  <si>
    <t>1 year</t>
  </si>
  <si>
    <t>2 years</t>
  </si>
  <si>
    <t>5 years</t>
  </si>
  <si>
    <t>10 years</t>
  </si>
  <si>
    <t>15 years</t>
  </si>
  <si>
    <t>20 years+</t>
  </si>
  <si>
    <t>How much  management experience  are needed for the job?</t>
  </si>
  <si>
    <t>How Important is Human Relation Skills to the Job?</t>
  </si>
  <si>
    <t>Not Important</t>
  </si>
  <si>
    <t>Extremely Important</t>
  </si>
  <si>
    <t>How broad is the scope of the job?</t>
  </si>
  <si>
    <t>Taskfocus</t>
  </si>
  <si>
    <t>Specialist</t>
  </si>
  <si>
    <t>Supporting Staff</t>
  </si>
  <si>
    <t>Management Small Org</t>
  </si>
  <si>
    <t>Management Large Org</t>
  </si>
  <si>
    <t>How will the incumbent be expected to solve  problems in the job?</t>
  </si>
  <si>
    <t>Strict Routine</t>
  </si>
  <si>
    <t>Routine</t>
  </si>
  <si>
    <t>Semi- Routine</t>
  </si>
  <si>
    <t>Within Procedures</t>
  </si>
  <si>
    <t>Within clear policies</t>
  </si>
  <si>
    <t>Within broad policies</t>
  </si>
  <si>
    <t>Under General Policies, principles &amp; goals</t>
  </si>
  <si>
    <t>Abstract/ Philosophy</t>
  </si>
  <si>
    <t>What does the job's Management environment looks like?</t>
  </si>
  <si>
    <t>Rigid supervision</t>
  </si>
  <si>
    <t>Close supervision</t>
  </si>
  <si>
    <t>Supervised</t>
  </si>
  <si>
    <t>General Supervision</t>
  </si>
  <si>
    <t>Readily available direction</t>
  </si>
  <si>
    <t>General direction</t>
  </si>
  <si>
    <t>Broad Guidance</t>
  </si>
  <si>
    <t>Autonomous</t>
  </si>
  <si>
    <t>What types of Problems will the incumbent be expected to solve in the job?</t>
  </si>
  <si>
    <t>Problems of a Repetitive nature</t>
  </si>
  <si>
    <t>Problems of a similar nature</t>
  </si>
  <si>
    <t>Problems that can vary widely</t>
  </si>
  <si>
    <t>Problems that need  much analysis, constructive thinking and judgement</t>
  </si>
  <si>
    <t>Pioneering work with no precedent.</t>
  </si>
  <si>
    <t>What approach will the incumbent have to change in the environment?</t>
  </si>
  <si>
    <t>No or Few Changes needed</t>
  </si>
  <si>
    <t>Some variety but under Supervision</t>
  </si>
  <si>
    <t>Simple Procedures &amp; little judgement</t>
  </si>
  <si>
    <t xml:space="preserve"> By Thinking &amp; within Procedures</t>
  </si>
  <si>
    <t>Optimising e.g setting priorities</t>
  </si>
  <si>
    <t>By thinking within Policies</t>
  </si>
  <si>
    <t>Recom-mends change in teamwork</t>
  </si>
  <si>
    <t>Implements change &amp; Innovation</t>
  </si>
  <si>
    <t>Determine Policy , Heavy Judgement</t>
  </si>
  <si>
    <t>Functional strategy in changing environment</t>
  </si>
  <si>
    <t>In decision-taking, what will the incumbent use as  guidelines?</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</si>
</sst>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m/d"/>
    <numFmt numFmtId="165" formatCode="m/d/yy"/>
    <numFmt numFmtId="166" formatCode="d/m/yy"/>
    <numFmt numFmtId="167" formatCode="0.0"/>
    <numFmt numFmtId="168" formatCode="[$-436]dd\ mmmm\ yyyy"/>
    <numFmt numFmtId="169" formatCode="d\-mmm\-yy"/>
  </numFmts>
  <fonts count="53">
    <font>
      <sz val="10"/>
      <name val="Arial"/>
      <family val="0"/>
    </font>
    <font>
      <b/>
      <u val="single"/>
      <sz val="10"/>
      <name val="Arial"/>
      <family val="2"/>
    </font>
    <font>
      <b/>
      <sz val="14"/>
      <color indexed="10"/>
      <name val="Arial"/>
      <family val="2"/>
    </font>
    <font>
      <b/>
      <sz val="14"/>
      <name val="Arial"/>
      <family val="2"/>
    </font>
    <font>
      <b/>
      <sz val="18"/>
      <color indexed="10"/>
      <name val="Arial"/>
      <family val="2"/>
    </font>
    <font>
      <b/>
      <sz val="12"/>
      <color indexed="10"/>
      <name val="Arial"/>
      <family val="2"/>
    </font>
    <font>
      <sz val="12"/>
      <name val="Arial"/>
      <family val="2"/>
    </font>
    <font>
      <sz val="12"/>
      <color indexed="10"/>
      <name val="Arial"/>
      <family val="2"/>
    </font>
    <font>
      <b/>
      <sz val="10"/>
      <name val="Arial"/>
      <family val="2"/>
    </font>
    <font>
      <b/>
      <sz val="12"/>
      <name val="Arial"/>
      <family val="2"/>
    </font>
    <font>
      <sz val="8"/>
      <name val="Tahoma"/>
      <family val="0"/>
    </font>
    <font>
      <b/>
      <sz val="16"/>
      <color indexed="10"/>
      <name val="Arial"/>
      <family val="2"/>
    </font>
    <font>
      <b/>
      <sz val="8"/>
      <name val="Tahoma"/>
      <family val="0"/>
    </font>
    <font>
      <b/>
      <sz val="10"/>
      <color indexed="10"/>
      <name val="Arial"/>
      <family val="2"/>
    </font>
    <font>
      <sz val="10"/>
      <color indexed="27"/>
      <name val="Arial"/>
      <family val="2"/>
    </font>
    <font>
      <b/>
      <sz val="18"/>
      <name val="Arial"/>
      <family val="2"/>
    </font>
    <font>
      <sz val="10"/>
      <color indexed="41"/>
      <name val="Arial"/>
      <family val="2"/>
    </font>
    <font>
      <b/>
      <sz val="8"/>
      <name val="Arial"/>
      <family val="2"/>
    </font>
    <font>
      <sz val="8"/>
      <name val="Arial"/>
      <family val="2"/>
    </font>
    <font>
      <b/>
      <u val="single"/>
      <sz val="8"/>
      <name val="Tahoma"/>
      <family val="2"/>
    </font>
    <font>
      <b/>
      <i/>
      <sz val="12"/>
      <color indexed="14"/>
      <name val="Arial"/>
      <family val="2"/>
    </font>
    <font>
      <b/>
      <u val="single"/>
      <sz val="16"/>
      <name val="Arial"/>
      <family val="2"/>
    </font>
    <font>
      <sz val="10"/>
      <color indexed="10"/>
      <name val="Arial"/>
      <family val="2"/>
    </font>
    <font>
      <b/>
      <sz val="11"/>
      <color indexed="14"/>
      <name val="Arial"/>
      <family val="2"/>
    </font>
    <font>
      <b/>
      <i/>
      <sz val="10"/>
      <color indexed="33"/>
      <name val="Arial"/>
      <family val="2"/>
    </font>
    <font>
      <sz val="10"/>
      <color indexed="9"/>
      <name val="Arial"/>
      <family val="2"/>
    </font>
    <font>
      <b/>
      <sz val="11"/>
      <color indexed="10"/>
      <name val="Arial"/>
      <family val="2"/>
    </font>
    <font>
      <sz val="8"/>
      <color indexed="9"/>
      <name val="Arial"/>
      <family val="2"/>
    </font>
    <font>
      <b/>
      <sz val="11"/>
      <name val="Arial"/>
      <family val="2"/>
    </font>
    <font>
      <sz val="8"/>
      <color indexed="10"/>
      <name val="Arial"/>
      <family val="2"/>
    </font>
    <font>
      <b/>
      <u val="single"/>
      <sz val="10"/>
      <color indexed="10"/>
      <name val="Arial"/>
      <family val="2"/>
    </font>
    <font>
      <sz val="5.75"/>
      <name val="Arial"/>
      <family val="0"/>
    </font>
    <font>
      <b/>
      <sz val="16"/>
      <name val="Arial"/>
      <family val="2"/>
    </font>
    <font>
      <b/>
      <sz val="8"/>
      <color indexed="10"/>
      <name val="Arial"/>
      <family val="2"/>
    </font>
    <font>
      <b/>
      <sz val="10"/>
      <color indexed="9"/>
      <name val="Arial"/>
      <family val="2"/>
    </font>
    <font>
      <sz val="10"/>
      <color indexed="14"/>
      <name val="Arial"/>
      <family val="2"/>
    </font>
    <font>
      <sz val="10"/>
      <color indexed="43"/>
      <name val="Arial"/>
      <family val="2"/>
    </font>
    <font>
      <sz val="10"/>
      <color indexed="45"/>
      <name val="Arial"/>
      <family val="2"/>
    </font>
    <font>
      <i/>
      <sz val="8"/>
      <name val="Arial"/>
      <family val="2"/>
    </font>
    <font>
      <u val="single"/>
      <sz val="10"/>
      <color indexed="12"/>
      <name val="Arial"/>
      <family val="0"/>
    </font>
    <font>
      <u val="single"/>
      <sz val="10"/>
      <color indexed="36"/>
      <name val="Arial"/>
      <family val="0"/>
    </font>
    <font>
      <b/>
      <i/>
      <u val="single"/>
      <sz val="18"/>
      <color indexed="10"/>
      <name val="Arial"/>
      <family val="2"/>
    </font>
    <font>
      <b/>
      <i/>
      <u val="single"/>
      <sz val="20"/>
      <color indexed="10"/>
      <name val="Arial"/>
      <family val="2"/>
    </font>
    <font>
      <b/>
      <i/>
      <sz val="10"/>
      <color indexed="14"/>
      <name val="Arial"/>
      <family val="2"/>
    </font>
    <font>
      <i/>
      <sz val="10"/>
      <color indexed="12"/>
      <name val="Arial"/>
      <family val="2"/>
    </font>
    <font>
      <b/>
      <sz val="10"/>
      <color indexed="33"/>
      <name val="Arial"/>
      <family val="2"/>
    </font>
    <font>
      <i/>
      <sz val="10"/>
      <color indexed="14"/>
      <name val="Arial"/>
      <family val="2"/>
    </font>
    <font>
      <b/>
      <u val="single"/>
      <sz val="18"/>
      <name val="Arial"/>
      <family val="2"/>
    </font>
    <font>
      <sz val="10"/>
      <color indexed="52"/>
      <name val="Arial"/>
      <family val="0"/>
    </font>
    <font>
      <b/>
      <sz val="20"/>
      <color indexed="10"/>
      <name val="Arial"/>
      <family val="2"/>
    </font>
    <font>
      <sz val="14"/>
      <name val="Arial"/>
      <family val="2"/>
    </font>
    <font>
      <sz val="8"/>
      <color indexed="43"/>
      <name val="Arial"/>
      <family val="0"/>
    </font>
    <font>
      <b/>
      <u val="single"/>
      <sz val="22"/>
      <color indexed="10"/>
      <name val="Arial"/>
      <family val="2"/>
    </font>
  </fonts>
  <fills count="10">
    <fill>
      <patternFill/>
    </fill>
    <fill>
      <patternFill patternType="gray125"/>
    </fill>
    <fill>
      <patternFill patternType="solid">
        <fgColor indexed="54"/>
        <bgColor indexed="64"/>
      </patternFill>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51"/>
        <bgColor indexed="64"/>
      </patternFill>
    </fill>
  </fills>
  <borders count="56">
    <border>
      <left/>
      <right/>
      <top/>
      <bottom/>
      <diagonal/>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style="thin"/>
      <right style="double"/>
      <top style="thin"/>
      <bottom style="thin"/>
    </border>
    <border>
      <left style="thin"/>
      <right style="thin"/>
      <top style="thin"/>
      <bottom style="thin"/>
    </border>
    <border>
      <left style="thick">
        <color indexed="24"/>
      </left>
      <right style="thick">
        <color indexed="24"/>
      </right>
      <top style="thick">
        <color indexed="24"/>
      </top>
      <bottom style="thick">
        <color indexed="24"/>
      </bottom>
    </border>
    <border>
      <left style="double"/>
      <right>
        <color indexed="63"/>
      </right>
      <top style="double"/>
      <bottom>
        <color indexed="63"/>
      </bottom>
    </border>
    <border>
      <left style="thick">
        <color indexed="24"/>
      </left>
      <right>
        <color indexed="63"/>
      </right>
      <top style="thick">
        <color indexed="24"/>
      </top>
      <bottom style="thick">
        <color indexed="24"/>
      </bottom>
    </border>
    <border>
      <left>
        <color indexed="63"/>
      </left>
      <right style="thick">
        <color indexed="24"/>
      </right>
      <top style="thick">
        <color indexed="24"/>
      </top>
      <bottom style="thick">
        <color indexed="24"/>
      </bottom>
    </border>
    <border>
      <left>
        <color indexed="63"/>
      </left>
      <right style="thick">
        <color indexed="24"/>
      </right>
      <top>
        <color indexed="63"/>
      </top>
      <bottom style="thick">
        <color indexed="24"/>
      </bottom>
    </border>
    <border>
      <left>
        <color indexed="63"/>
      </left>
      <right>
        <color indexed="63"/>
      </right>
      <top style="thick">
        <color indexed="24"/>
      </top>
      <bottom style="thick">
        <color indexed="24"/>
      </bottom>
    </border>
    <border>
      <left style="thick">
        <color indexed="24"/>
      </left>
      <right>
        <color indexed="63"/>
      </right>
      <top>
        <color indexed="63"/>
      </top>
      <bottom style="thick">
        <color indexed="24"/>
      </bottom>
    </border>
    <border>
      <left>
        <color indexed="63"/>
      </left>
      <right>
        <color indexed="63"/>
      </right>
      <top>
        <color indexed="63"/>
      </top>
      <bottom style="thick">
        <color indexed="24"/>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ck"/>
      <right style="thick"/>
      <top style="thick"/>
      <bottom style="thick"/>
    </border>
    <border>
      <left style="thick">
        <color indexed="24"/>
      </left>
      <right>
        <color indexed="63"/>
      </right>
      <top style="thick">
        <color indexed="24"/>
      </top>
      <bottom>
        <color indexed="63"/>
      </bottom>
    </border>
    <border>
      <left style="double"/>
      <right style="double"/>
      <top style="double"/>
      <bottom style="double"/>
    </border>
    <border>
      <left style="thin">
        <color indexed="10"/>
      </left>
      <right style="double"/>
      <top style="thin">
        <color indexed="10"/>
      </top>
      <bottom style="thin">
        <color indexed="10"/>
      </bottom>
    </border>
    <border>
      <left style="thick">
        <color indexed="12"/>
      </left>
      <right style="thin">
        <color indexed="12"/>
      </right>
      <top style="thin">
        <color indexed="12"/>
      </top>
      <bottom style="thin">
        <color indexed="12"/>
      </bottom>
    </border>
    <border>
      <left style="thick">
        <color indexed="12"/>
      </left>
      <right style="thin">
        <color indexed="12"/>
      </right>
      <top style="thin">
        <color indexed="12"/>
      </top>
      <bottom style="thick">
        <color indexed="12"/>
      </bottom>
    </border>
    <border>
      <left style="thin">
        <color indexed="12"/>
      </left>
      <right style="thick">
        <color indexed="12"/>
      </right>
      <top style="thin">
        <color indexed="12"/>
      </top>
      <bottom style="thick">
        <color indexed="12"/>
      </bottom>
    </border>
    <border>
      <left style="thin">
        <color indexed="12"/>
      </left>
      <right style="thick">
        <color indexed="12"/>
      </right>
      <top style="thick">
        <color indexed="12"/>
      </top>
      <bottom style="thin">
        <color indexed="12"/>
      </bottom>
    </border>
    <border>
      <left style="thick">
        <color indexed="12"/>
      </left>
      <right style="thick">
        <color indexed="12"/>
      </right>
      <top style="thick">
        <color indexed="12"/>
      </top>
      <bottom style="thin">
        <color indexed="12"/>
      </bottom>
    </border>
    <border>
      <left style="hair"/>
      <right style="hair"/>
      <top style="hair"/>
      <bottom style="hair"/>
    </border>
    <border>
      <left style="hair"/>
      <right style="double"/>
      <top style="hair"/>
      <bottom style="hair"/>
    </border>
    <border>
      <left style="hair"/>
      <right style="hair"/>
      <top style="hair"/>
      <bottom style="double"/>
    </border>
    <border>
      <left style="hair"/>
      <right style="double"/>
      <top style="hair"/>
      <bottom style="double"/>
    </border>
    <border>
      <left>
        <color indexed="63"/>
      </left>
      <right>
        <color indexed="63"/>
      </right>
      <top>
        <color indexed="63"/>
      </top>
      <bottom style="medium"/>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style="thin"/>
      <top style="thin"/>
      <bottom>
        <color indexed="63"/>
      </bottom>
    </border>
    <border>
      <left>
        <color indexed="63"/>
      </left>
      <right style="thick">
        <color indexed="24"/>
      </right>
      <top style="thick">
        <color indexed="24"/>
      </top>
      <bottom>
        <color indexed="63"/>
      </bottom>
    </border>
    <border>
      <left>
        <color indexed="63"/>
      </left>
      <right>
        <color indexed="63"/>
      </right>
      <top style="thick">
        <color indexed="24"/>
      </top>
      <bottom>
        <color indexed="63"/>
      </bottom>
    </border>
    <border>
      <left style="double"/>
      <right style="thin"/>
      <top style="thin"/>
      <bottom style="thin"/>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hair"/>
      <bottom style="double"/>
    </border>
    <border>
      <left style="hair"/>
      <right>
        <color indexed="63"/>
      </right>
      <top style="hair"/>
      <bottom style="double"/>
    </border>
    <border>
      <left>
        <color indexed="63"/>
      </left>
      <right style="hair"/>
      <top style="hair"/>
      <bottom style="double"/>
    </border>
    <border>
      <left style="double"/>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cellStyleXfs>
  <cellXfs count="370">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wrapText="1"/>
    </xf>
    <xf numFmtId="0" fontId="4" fillId="0" borderId="6" xfId="0" applyFont="1" applyBorder="1" applyAlignment="1">
      <alignment horizontal="center" vertical="center" wrapText="1"/>
    </xf>
    <xf numFmtId="0" fontId="0" fillId="0" borderId="0" xfId="0" applyFont="1" applyAlignment="1">
      <alignment vertical="center" wrapText="1"/>
    </xf>
    <xf numFmtId="0" fontId="6" fillId="0" borderId="0" xfId="0" applyFont="1" applyAlignment="1">
      <alignment/>
    </xf>
    <xf numFmtId="0" fontId="0" fillId="0" borderId="1" xfId="0" applyBorder="1" applyAlignment="1">
      <alignment/>
    </xf>
    <xf numFmtId="0" fontId="0" fillId="0" borderId="2" xfId="0" applyBorder="1" applyAlignment="1">
      <alignment/>
    </xf>
    <xf numFmtId="0" fontId="0" fillId="2" borderId="0" xfId="0" applyFill="1" applyBorder="1" applyAlignment="1">
      <alignment/>
    </xf>
    <xf numFmtId="0" fontId="0" fillId="0" borderId="3" xfId="0" applyFont="1" applyBorder="1" applyAlignment="1">
      <alignment vertical="center" wrapText="1"/>
    </xf>
    <xf numFmtId="0" fontId="0" fillId="0" borderId="0" xfId="0" applyFont="1" applyBorder="1" applyAlignment="1">
      <alignment vertical="center" wrapText="1"/>
    </xf>
    <xf numFmtId="0" fontId="6" fillId="0" borderId="0" xfId="0" applyFont="1" applyBorder="1" applyAlignment="1">
      <alignment/>
    </xf>
    <xf numFmtId="0" fontId="0" fillId="0" borderId="0" xfId="0" applyBorder="1" applyAlignment="1">
      <alignment/>
    </xf>
    <xf numFmtId="0" fontId="0" fillId="0" borderId="7" xfId="0" applyBorder="1" applyAlignment="1">
      <alignment/>
    </xf>
    <xf numFmtId="0" fontId="9" fillId="0" borderId="0" xfId="0" applyFont="1" applyBorder="1" applyAlignment="1">
      <alignment horizontal="center"/>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5" xfId="0" applyBorder="1" applyAlignment="1">
      <alignment/>
    </xf>
    <xf numFmtId="0" fontId="6" fillId="0" borderId="5" xfId="0" applyFont="1" applyBorder="1" applyAlignment="1">
      <alignment/>
    </xf>
    <xf numFmtId="0" fontId="0" fillId="0" borderId="6" xfId="0" applyBorder="1" applyAlignment="1">
      <alignment/>
    </xf>
    <xf numFmtId="0" fontId="3" fillId="0" borderId="0" xfId="0" applyFont="1" applyBorder="1" applyAlignment="1" quotePrefix="1">
      <alignment horizontal="center" vertical="center" wrapText="1"/>
    </xf>
    <xf numFmtId="0" fontId="5" fillId="0" borderId="8" xfId="0" applyFont="1" applyBorder="1" applyAlignment="1">
      <alignment horizontal="center"/>
    </xf>
    <xf numFmtId="0" fontId="5" fillId="0" borderId="9" xfId="0" applyFont="1" applyBorder="1" applyAlignment="1">
      <alignment horizontal="center"/>
    </xf>
    <xf numFmtId="1" fontId="0" fillId="0" borderId="0" xfId="0" applyNumberFormat="1" applyAlignment="1">
      <alignment/>
    </xf>
    <xf numFmtId="0" fontId="9" fillId="0" borderId="0" xfId="0" applyFont="1" applyBorder="1" applyAlignment="1">
      <alignment horizontal="left"/>
    </xf>
    <xf numFmtId="0" fontId="3" fillId="0" borderId="0" xfId="0" applyFont="1"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xf>
    <xf numFmtId="0" fontId="9" fillId="0" borderId="0" xfId="0" applyFont="1" applyBorder="1" applyAlignment="1">
      <alignment/>
    </xf>
    <xf numFmtId="0" fontId="0" fillId="0" borderId="0" xfId="0" applyBorder="1" applyAlignment="1">
      <alignment vertical="top" wrapText="1"/>
    </xf>
    <xf numFmtId="0" fontId="14" fillId="0" borderId="0" xfId="0" applyFont="1" applyBorder="1" applyAlignment="1">
      <alignment/>
    </xf>
    <xf numFmtId="1" fontId="0" fillId="0" borderId="7" xfId="0" applyNumberFormat="1" applyBorder="1" applyAlignment="1">
      <alignment/>
    </xf>
    <xf numFmtId="0" fontId="0" fillId="0" borderId="4" xfId="0" applyBorder="1" applyAlignment="1">
      <alignment/>
    </xf>
    <xf numFmtId="0" fontId="16" fillId="0" borderId="0" xfId="0" applyFont="1" applyBorder="1" applyAlignment="1">
      <alignment horizontal="center" vertical="center" wrapText="1"/>
    </xf>
    <xf numFmtId="0" fontId="3" fillId="0" borderId="0" xfId="0" applyFont="1" applyBorder="1" applyAlignment="1" quotePrefix="1">
      <alignment horizontal="center" vertical="center"/>
    </xf>
    <xf numFmtId="9" fontId="11" fillId="0" borderId="10" xfId="0" applyNumberFormat="1" applyFont="1" applyBorder="1" applyAlignment="1">
      <alignment horizontal="center" vertical="center"/>
    </xf>
    <xf numFmtId="1" fontId="11" fillId="0" borderId="10" xfId="0" applyNumberFormat="1" applyFont="1" applyBorder="1" applyAlignment="1">
      <alignment horizontal="center" vertical="center"/>
    </xf>
    <xf numFmtId="0" fontId="0" fillId="0" borderId="3" xfId="0" applyBorder="1" applyAlignment="1">
      <alignment vertical="center" wrapText="1"/>
    </xf>
    <xf numFmtId="0" fontId="0" fillId="0" borderId="11" xfId="0" applyBorder="1" applyAlignment="1">
      <alignment/>
    </xf>
    <xf numFmtId="1" fontId="11" fillId="0" borderId="10" xfId="0" applyNumberFormat="1" applyFont="1" applyFill="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1" fontId="8" fillId="0" borderId="14" xfId="0" applyNumberFormat="1" applyFont="1" applyBorder="1" applyAlignment="1">
      <alignment horizontal="left"/>
    </xf>
    <xf numFmtId="0" fontId="8" fillId="0" borderId="15" xfId="0" applyFont="1" applyBorder="1" applyAlignment="1">
      <alignment horizontal="center"/>
    </xf>
    <xf numFmtId="0" fontId="20" fillId="0" borderId="0" xfId="0" applyFont="1" applyBorder="1" applyAlignment="1">
      <alignment/>
    </xf>
    <xf numFmtId="0" fontId="13" fillId="0" borderId="0" xfId="0" applyFont="1" applyBorder="1" applyAlignment="1">
      <alignment horizontal="center" vertical="top" wrapText="1"/>
    </xf>
    <xf numFmtId="0" fontId="0" fillId="0" borderId="0" xfId="0" applyBorder="1" applyAlignment="1">
      <alignment horizontal="center"/>
    </xf>
    <xf numFmtId="1" fontId="0" fillId="0" borderId="0" xfId="0" applyNumberFormat="1" applyBorder="1" applyAlignment="1">
      <alignment horizontal="center"/>
    </xf>
    <xf numFmtId="0" fontId="0" fillId="0" borderId="0" xfId="0" applyBorder="1" applyAlignment="1">
      <alignment horizontal="right"/>
    </xf>
    <xf numFmtId="0" fontId="0" fillId="0" borderId="0" xfId="0" applyBorder="1" applyAlignment="1">
      <alignment horizontal="left"/>
    </xf>
    <xf numFmtId="0" fontId="0" fillId="0" borderId="3" xfId="0" applyBorder="1" applyAlignment="1">
      <alignment horizontal="center"/>
    </xf>
    <xf numFmtId="0" fontId="6" fillId="0" borderId="0" xfId="0" applyFont="1" applyBorder="1" applyAlignment="1">
      <alignment horizontal="center" wrapText="1"/>
    </xf>
    <xf numFmtId="0" fontId="5" fillId="0" borderId="0" xfId="0" applyFont="1" applyBorder="1" applyAlignment="1">
      <alignment horizontal="left" wrapText="1"/>
    </xf>
    <xf numFmtId="0" fontId="23" fillId="0" borderId="0" xfId="0" applyFont="1" applyBorder="1" applyAlignment="1">
      <alignment/>
    </xf>
    <xf numFmtId="0" fontId="2" fillId="0" borderId="7" xfId="0" applyFont="1" applyBorder="1" applyAlignment="1">
      <alignment horizontal="left" vertical="center" wrapText="1"/>
    </xf>
    <xf numFmtId="0" fontId="8" fillId="0" borderId="16" xfId="0" applyFont="1" applyBorder="1" applyAlignment="1">
      <alignment horizontal="center"/>
    </xf>
    <xf numFmtId="0" fontId="0" fillId="0" borderId="17" xfId="0" applyBorder="1" applyAlignment="1">
      <alignment horizontal="center"/>
    </xf>
    <xf numFmtId="0" fontId="8" fillId="0" borderId="17" xfId="0" applyFont="1" applyBorder="1" applyAlignment="1">
      <alignment horizontal="center"/>
    </xf>
    <xf numFmtId="0" fontId="8" fillId="0" borderId="14" xfId="0" applyFont="1" applyBorder="1" applyAlignment="1">
      <alignment horizontal="center"/>
    </xf>
    <xf numFmtId="0" fontId="0" fillId="0" borderId="0" xfId="0" applyBorder="1" applyAlignment="1">
      <alignment horizontal="center" vertical="top" wrapText="1"/>
    </xf>
    <xf numFmtId="0" fontId="0" fillId="0" borderId="3" xfId="0" applyBorder="1" applyAlignment="1">
      <alignment horizontal="center" vertical="top" wrapText="1"/>
    </xf>
    <xf numFmtId="0" fontId="14" fillId="0" borderId="0" xfId="0" applyFont="1" applyBorder="1" applyAlignment="1">
      <alignment horizontal="center" vertical="center" wrapText="1"/>
    </xf>
    <xf numFmtId="0" fontId="1" fillId="0" borderId="1" xfId="0" applyFont="1" applyBorder="1" applyAlignment="1">
      <alignment horizontal="center" vertical="center"/>
    </xf>
    <xf numFmtId="0" fontId="0" fillId="0" borderId="5" xfId="0" applyBorder="1" applyAlignment="1">
      <alignment horizontal="center" vertical="center"/>
    </xf>
    <xf numFmtId="0" fontId="1" fillId="0" borderId="11" xfId="0" applyFont="1" applyBorder="1" applyAlignment="1">
      <alignment horizontal="center"/>
    </xf>
    <xf numFmtId="14" fontId="0" fillId="0" borderId="7" xfId="0" applyNumberFormat="1" applyBorder="1" applyAlignment="1">
      <alignment/>
    </xf>
    <xf numFmtId="0" fontId="13" fillId="0" borderId="0" xfId="0" applyFont="1" applyBorder="1" applyAlignment="1">
      <alignment/>
    </xf>
    <xf numFmtId="0" fontId="22" fillId="3" borderId="0" xfId="0" applyFont="1" applyFill="1" applyBorder="1" applyAlignment="1" applyProtection="1">
      <alignment horizontal="center"/>
      <protection locked="0"/>
    </xf>
    <xf numFmtId="0" fontId="2" fillId="3" borderId="7" xfId="0" applyFont="1" applyFill="1" applyBorder="1" applyAlignment="1" applyProtection="1">
      <alignment horizontal="center" vertical="center" wrapText="1"/>
      <protection locked="0"/>
    </xf>
    <xf numFmtId="0" fontId="25" fillId="0" borderId="0" xfId="0" applyFont="1" applyBorder="1" applyAlignment="1">
      <alignment vertical="center" wrapText="1"/>
    </xf>
    <xf numFmtId="0" fontId="2" fillId="3" borderId="9"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shrinkToFit="1"/>
      <protection locked="0"/>
    </xf>
    <xf numFmtId="9" fontId="25" fillId="0" borderId="0" xfId="0" applyNumberFormat="1" applyFont="1" applyBorder="1" applyAlignment="1">
      <alignment horizontal="center"/>
    </xf>
    <xf numFmtId="0" fontId="25" fillId="0" borderId="0" xfId="0" applyFont="1" applyBorder="1" applyAlignment="1">
      <alignment/>
    </xf>
    <xf numFmtId="9" fontId="25" fillId="0" borderId="0" xfId="0" applyNumberFormat="1" applyFont="1" applyBorder="1" applyAlignment="1">
      <alignment/>
    </xf>
    <xf numFmtId="1" fontId="2" fillId="3" borderId="7" xfId="0" applyNumberFormat="1" applyFont="1" applyFill="1" applyBorder="1" applyAlignment="1" applyProtection="1">
      <alignment horizontal="center" vertical="center"/>
      <protection locked="0"/>
    </xf>
    <xf numFmtId="0" fontId="2" fillId="3" borderId="0" xfId="0" applyFont="1" applyFill="1" applyBorder="1" applyAlignment="1" applyProtection="1">
      <alignment horizontal="center"/>
      <protection locked="0"/>
    </xf>
    <xf numFmtId="0" fontId="2" fillId="3" borderId="0" xfId="0" applyFont="1" applyFill="1" applyBorder="1" applyAlignment="1" applyProtection="1">
      <alignment horizontal="center" vertical="top" wrapText="1"/>
      <protection locked="0"/>
    </xf>
    <xf numFmtId="0" fontId="0" fillId="3" borderId="0" xfId="0" applyFill="1" applyBorder="1" applyAlignment="1" applyProtection="1">
      <alignment horizontal="center"/>
      <protection locked="0"/>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xf>
    <xf numFmtId="0" fontId="0" fillId="0" borderId="0" xfId="0" applyAlignment="1">
      <alignment horizontal="center"/>
    </xf>
    <xf numFmtId="0" fontId="8" fillId="0" borderId="16" xfId="0" applyFont="1" applyBorder="1" applyAlignment="1" applyProtection="1">
      <alignment horizontal="right"/>
      <protection locked="0"/>
    </xf>
    <xf numFmtId="14" fontId="26" fillId="3" borderId="0" xfId="0" applyNumberFormat="1" applyFont="1" applyFill="1" applyBorder="1" applyAlignment="1" applyProtection="1">
      <alignment horizontal="center"/>
      <protection locked="0"/>
    </xf>
    <xf numFmtId="0" fontId="27" fillId="0" borderId="4" xfId="0" applyFont="1" applyBorder="1" applyAlignment="1">
      <alignment/>
    </xf>
    <xf numFmtId="0" fontId="0" fillId="0" borderId="21" xfId="0" applyBorder="1" applyAlignment="1">
      <alignment horizontal="center" wrapText="1"/>
    </xf>
    <xf numFmtId="0" fontId="0" fillId="0" borderId="0" xfId="0" applyAlignment="1">
      <alignment horizontal="center" vertical="top" wrapText="1"/>
    </xf>
    <xf numFmtId="1" fontId="4" fillId="0" borderId="0" xfId="0" applyNumberFormat="1" applyFont="1" applyBorder="1" applyAlignment="1">
      <alignment horizontal="left"/>
    </xf>
    <xf numFmtId="9" fontId="0" fillId="0" borderId="0" xfId="0" applyNumberFormat="1" applyAlignment="1">
      <alignment/>
    </xf>
    <xf numFmtId="9" fontId="0" fillId="0" borderId="0" xfId="0" applyNumberFormat="1" applyAlignment="1">
      <alignment horizontal="center"/>
    </xf>
    <xf numFmtId="1" fontId="0" fillId="0" borderId="0" xfId="0" applyNumberFormat="1" applyAlignment="1">
      <alignment horizontal="center"/>
    </xf>
    <xf numFmtId="1" fontId="29" fillId="0" borderId="0" xfId="0" applyNumberFormat="1" applyFont="1" applyBorder="1" applyAlignment="1">
      <alignment horizontal="center" vertical="center"/>
    </xf>
    <xf numFmtId="0" fontId="13" fillId="0" borderId="0" xfId="0" applyFont="1" applyAlignment="1">
      <alignment horizontal="center" vertical="center" wrapText="1"/>
    </xf>
    <xf numFmtId="1" fontId="0" fillId="0" borderId="7" xfId="0" applyNumberFormat="1" applyBorder="1" applyAlignment="1">
      <alignment horizontal="center"/>
    </xf>
    <xf numFmtId="0" fontId="6" fillId="0" borderId="0" xfId="0" applyFont="1" applyBorder="1" applyAlignment="1">
      <alignment horizontal="left" vertical="center" wrapText="1"/>
    </xf>
    <xf numFmtId="0" fontId="9" fillId="0" borderId="0" xfId="0" applyFont="1" applyBorder="1" applyAlignment="1">
      <alignment horizontal="center" vertical="center" wrapText="1"/>
    </xf>
    <xf numFmtId="0" fontId="14" fillId="0" borderId="0" xfId="0" applyFont="1" applyBorder="1" applyAlignment="1">
      <alignment horizontal="center"/>
    </xf>
    <xf numFmtId="0" fontId="4" fillId="3" borderId="10" xfId="0" applyFont="1" applyFill="1" applyBorder="1" applyAlignment="1" applyProtection="1">
      <alignment horizontal="center" vertical="center"/>
      <protection locked="0"/>
    </xf>
    <xf numFmtId="0" fontId="5" fillId="0" borderId="10" xfId="0" applyFont="1" applyBorder="1" applyAlignment="1">
      <alignment vertical="center" wrapText="1"/>
    </xf>
    <xf numFmtId="1" fontId="14" fillId="0" borderId="0" xfId="0" applyNumberFormat="1" applyFont="1" applyBorder="1" applyAlignment="1">
      <alignment/>
    </xf>
    <xf numFmtId="0" fontId="0" fillId="0" borderId="3" xfId="0" applyBorder="1" applyAlignment="1" applyProtection="1">
      <alignment/>
      <protection locked="0"/>
    </xf>
    <xf numFmtId="0" fontId="32" fillId="0" borderId="0" xfId="0" applyFont="1" applyBorder="1" applyAlignment="1" applyProtection="1">
      <alignment vertical="center" wrapText="1"/>
      <protection locked="0"/>
    </xf>
    <xf numFmtId="0" fontId="0" fillId="0" borderId="0" xfId="0" applyBorder="1" applyAlignment="1" applyProtection="1">
      <alignment/>
      <protection locked="0"/>
    </xf>
    <xf numFmtId="0" fontId="0" fillId="0" borderId="7" xfId="0" applyBorder="1" applyAlignment="1" applyProtection="1">
      <alignment/>
      <protection locked="0"/>
    </xf>
    <xf numFmtId="0" fontId="0" fillId="0" borderId="0" xfId="0" applyAlignment="1" applyProtection="1">
      <alignment/>
      <protection locked="0"/>
    </xf>
    <xf numFmtId="0" fontId="0" fillId="0" borderId="3" xfId="0" applyBorder="1" applyAlignment="1" applyProtection="1">
      <alignment horizontal="center" vertical="top" wrapText="1"/>
      <protection locked="0"/>
    </xf>
    <xf numFmtId="0" fontId="0" fillId="0" borderId="0" xfId="0" applyBorder="1" applyAlignment="1" applyProtection="1">
      <alignment vertical="top" wrapText="1"/>
      <protection locked="0"/>
    </xf>
    <xf numFmtId="0" fontId="0" fillId="0" borderId="19" xfId="0" applyBorder="1" applyAlignment="1" applyProtection="1">
      <alignment horizontal="center"/>
      <protection locked="0"/>
    </xf>
    <xf numFmtId="0" fontId="0" fillId="0" borderId="0" xfId="0" applyAlignment="1" applyProtection="1">
      <alignment horizontal="center"/>
      <protection locked="0"/>
    </xf>
    <xf numFmtId="0" fontId="32" fillId="0" borderId="0" xfId="0" applyFont="1" applyBorder="1" applyAlignment="1" applyProtection="1">
      <alignment horizontal="center" vertical="top" wrapText="1"/>
      <protection locked="0"/>
    </xf>
    <xf numFmtId="0" fontId="0" fillId="0" borderId="0" xfId="0" applyBorder="1" applyAlignment="1" applyProtection="1">
      <alignment horizontal="center" vertical="top"/>
      <protection locked="0"/>
    </xf>
    <xf numFmtId="165" fontId="9" fillId="0" borderId="0" xfId="0" applyNumberFormat="1" applyFont="1" applyBorder="1" applyAlignment="1">
      <alignment horizontal="center"/>
    </xf>
    <xf numFmtId="0" fontId="32" fillId="0" borderId="0" xfId="0" applyFont="1" applyBorder="1" applyAlignment="1">
      <alignment vertical="center"/>
    </xf>
    <xf numFmtId="0" fontId="8" fillId="0" borderId="0" xfId="0" applyFont="1" applyBorder="1" applyAlignment="1">
      <alignment horizontal="center" vertical="center" wrapText="1"/>
    </xf>
    <xf numFmtId="0" fontId="0" fillId="0" borderId="0" xfId="0" applyAlignment="1">
      <alignment horizontal="center" wrapText="1"/>
    </xf>
    <xf numFmtId="1" fontId="22" fillId="0" borderId="16" xfId="0" applyNumberFormat="1" applyFont="1" applyBorder="1" applyAlignment="1">
      <alignment horizontal="center"/>
    </xf>
    <xf numFmtId="0" fontId="18" fillId="0" borderId="22" xfId="0" applyFont="1" applyBorder="1" applyAlignment="1">
      <alignment horizontal="left"/>
    </xf>
    <xf numFmtId="0" fontId="28" fillId="0" borderId="0" xfId="0" applyFont="1" applyBorder="1" applyAlignment="1">
      <alignment horizontal="left" vertical="center" wrapText="1"/>
    </xf>
    <xf numFmtId="0" fontId="17" fillId="0" borderId="0" xfId="0" applyFont="1" applyBorder="1" applyAlignment="1">
      <alignment horizontal="left" wrapText="1"/>
    </xf>
    <xf numFmtId="0" fontId="17" fillId="0" borderId="0" xfId="0" applyFont="1" applyBorder="1" applyAlignment="1">
      <alignment horizontal="center" wrapText="1"/>
    </xf>
    <xf numFmtId="9" fontId="33" fillId="0" borderId="10" xfId="0" applyNumberFormat="1" applyFont="1" applyBorder="1" applyAlignment="1">
      <alignment horizontal="center" vertical="center" wrapText="1"/>
    </xf>
    <xf numFmtId="1" fontId="33" fillId="0" borderId="10" xfId="0" applyNumberFormat="1" applyFont="1" applyFill="1" applyBorder="1" applyAlignment="1">
      <alignment horizontal="center" wrapText="1"/>
    </xf>
    <xf numFmtId="0" fontId="0" fillId="0" borderId="0" xfId="0" applyFont="1" applyBorder="1" applyAlignment="1">
      <alignment horizontal="left" wrapText="1"/>
    </xf>
    <xf numFmtId="1" fontId="0" fillId="0" borderId="0" xfId="0" applyNumberFormat="1" applyAlignment="1">
      <alignment horizontal="center" vertical="center" wrapText="1"/>
    </xf>
    <xf numFmtId="0" fontId="0" fillId="0" borderId="0" xfId="0" applyFont="1" applyAlignment="1">
      <alignment horizontal="center" vertical="center" wrapText="1"/>
    </xf>
    <xf numFmtId="0" fontId="34" fillId="0" borderId="0" xfId="0" applyFont="1" applyBorder="1" applyAlignment="1">
      <alignment horizontal="center" vertical="center" wrapText="1"/>
    </xf>
    <xf numFmtId="0" fontId="25" fillId="0" borderId="0" xfId="0" applyFont="1" applyAlignment="1">
      <alignment vertical="center" wrapText="1"/>
    </xf>
    <xf numFmtId="0" fontId="8"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1" fontId="0" fillId="0" borderId="7" xfId="0" applyNumberFormat="1" applyBorder="1" applyAlignment="1">
      <alignment horizontal="center" vertical="center" wrapText="1"/>
    </xf>
    <xf numFmtId="0" fontId="0" fillId="0" borderId="4" xfId="0" applyBorder="1" applyAlignment="1">
      <alignment vertical="center" wrapText="1"/>
    </xf>
    <xf numFmtId="1" fontId="0" fillId="0" borderId="6" xfId="0" applyNumberFormat="1" applyBorder="1" applyAlignment="1">
      <alignment horizontal="center" vertical="center" wrapText="1"/>
    </xf>
    <xf numFmtId="0" fontId="35" fillId="0" borderId="0" xfId="0" applyFont="1" applyBorder="1" applyAlignment="1">
      <alignment vertical="center" wrapText="1"/>
    </xf>
    <xf numFmtId="167" fontId="5" fillId="0" borderId="0" xfId="0" applyNumberFormat="1" applyFont="1" applyBorder="1" applyAlignment="1">
      <alignment horizontal="center"/>
    </xf>
    <xf numFmtId="1" fontId="0" fillId="0" borderId="23" xfId="0" applyNumberFormat="1" applyBorder="1" applyAlignment="1">
      <alignment horizontal="center"/>
    </xf>
    <xf numFmtId="0" fontId="0" fillId="0" borderId="23" xfId="0" applyBorder="1" applyAlignment="1">
      <alignment horizontal="center"/>
    </xf>
    <xf numFmtId="0" fontId="25" fillId="0" borderId="5" xfId="0" applyFont="1" applyBorder="1" applyAlignment="1">
      <alignment/>
    </xf>
    <xf numFmtId="0" fontId="2" fillId="3" borderId="24" xfId="0" applyFont="1" applyFill="1" applyBorder="1" applyAlignment="1" applyProtection="1">
      <alignment horizontal="center"/>
      <protection locked="0"/>
    </xf>
    <xf numFmtId="1" fontId="22" fillId="0" borderId="13" xfId="0" applyNumberFormat="1" applyFont="1" applyBorder="1" applyAlignment="1">
      <alignment horizontal="center" vertical="center" wrapText="1"/>
    </xf>
    <xf numFmtId="0" fontId="36" fillId="0" borderId="0" xfId="0" applyFont="1" applyBorder="1" applyAlignment="1">
      <alignment/>
    </xf>
    <xf numFmtId="0" fontId="37" fillId="0" borderId="0" xfId="0" applyFont="1" applyBorder="1" applyAlignment="1">
      <alignment vertical="center" wrapText="1"/>
    </xf>
    <xf numFmtId="0" fontId="37" fillId="0" borderId="0" xfId="0" applyFont="1" applyBorder="1" applyAlignment="1">
      <alignment/>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0" fillId="4" borderId="27"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8" fillId="0" borderId="29" xfId="0" applyFont="1" applyBorder="1" applyAlignment="1">
      <alignment horizontal="center" vertical="center" wrapText="1"/>
    </xf>
    <xf numFmtId="0" fontId="35" fillId="0" borderId="0" xfId="0" applyFont="1" applyBorder="1" applyAlignment="1">
      <alignment horizontal="left" wrapText="1"/>
    </xf>
    <xf numFmtId="0" fontId="11" fillId="0" borderId="9" xfId="0" applyFont="1" applyFill="1" applyBorder="1" applyAlignment="1" applyProtection="1">
      <alignment horizontal="center" vertical="center" wrapText="1"/>
      <protection/>
    </xf>
    <xf numFmtId="0" fontId="0" fillId="0" borderId="7" xfId="0" applyBorder="1" applyAlignment="1">
      <alignment horizontal="center"/>
    </xf>
    <xf numFmtId="0" fontId="0" fillId="0" borderId="0" xfId="0" applyBorder="1" applyAlignment="1">
      <alignment/>
    </xf>
    <xf numFmtId="1" fontId="38" fillId="0" borderId="0" xfId="0" applyNumberFormat="1" applyFont="1" applyBorder="1" applyAlignment="1">
      <alignment horizontal="right"/>
    </xf>
    <xf numFmtId="1" fontId="38" fillId="0" borderId="0" xfId="0" applyNumberFormat="1" applyFont="1" applyBorder="1" applyAlignment="1">
      <alignment horizontal="left"/>
    </xf>
    <xf numFmtId="1" fontId="0" fillId="0" borderId="30" xfId="0" applyNumberFormat="1" applyBorder="1" applyAlignment="1">
      <alignment horizontal="center"/>
    </xf>
    <xf numFmtId="0" fontId="0" fillId="0" borderId="31" xfId="0" applyBorder="1" applyAlignment="1">
      <alignment horizontal="left"/>
    </xf>
    <xf numFmtId="0" fontId="0" fillId="0" borderId="30" xfId="0" applyBorder="1" applyAlignment="1">
      <alignment horizontal="right"/>
    </xf>
    <xf numFmtId="0" fontId="0" fillId="0" borderId="31" xfId="0" applyBorder="1" applyAlignment="1">
      <alignment horizontal="center"/>
    </xf>
    <xf numFmtId="0" fontId="0" fillId="0" borderId="32" xfId="0" applyBorder="1" applyAlignment="1">
      <alignment horizontal="right"/>
    </xf>
    <xf numFmtId="0" fontId="36" fillId="0" borderId="32" xfId="0" applyFont="1" applyBorder="1" applyAlignment="1">
      <alignment horizontal="right"/>
    </xf>
    <xf numFmtId="1" fontId="36" fillId="0" borderId="33" xfId="0" applyNumberFormat="1" applyFont="1" applyBorder="1" applyAlignment="1">
      <alignment horizontal="left"/>
    </xf>
    <xf numFmtId="0" fontId="3" fillId="0" borderId="0" xfId="0" applyFont="1" applyBorder="1" applyAlignment="1">
      <alignment horizontal="center"/>
    </xf>
    <xf numFmtId="0" fontId="39" fillId="0" borderId="0" xfId="20" applyBorder="1" applyAlignment="1">
      <alignment/>
    </xf>
    <xf numFmtId="0" fontId="1" fillId="0" borderId="0" xfId="0" applyFont="1" applyBorder="1" applyAlignment="1">
      <alignment horizontal="left"/>
    </xf>
    <xf numFmtId="0" fontId="1" fillId="0" borderId="11" xfId="0" applyFont="1" applyBorder="1" applyAlignment="1">
      <alignment horizontal="left" vertical="center"/>
    </xf>
    <xf numFmtId="9" fontId="0" fillId="0" borderId="31" xfId="0" applyNumberFormat="1" applyBorder="1" applyAlignment="1">
      <alignment horizontal="left"/>
    </xf>
    <xf numFmtId="0" fontId="3" fillId="5" borderId="0" xfId="0" applyFont="1" applyFill="1" applyBorder="1" applyAlignment="1" quotePrefix="1">
      <alignment horizontal="center" vertical="center"/>
    </xf>
    <xf numFmtId="0" fontId="16" fillId="5" borderId="0" xfId="0" applyFont="1" applyFill="1" applyBorder="1" applyAlignment="1">
      <alignment horizontal="center" vertical="center" wrapText="1"/>
    </xf>
    <xf numFmtId="0" fontId="0" fillId="5" borderId="0" xfId="0" applyFill="1" applyBorder="1" applyAlignment="1">
      <alignment vertical="top" wrapText="1"/>
    </xf>
    <xf numFmtId="0" fontId="2" fillId="5" borderId="0" xfId="0" applyFont="1" applyFill="1" applyBorder="1" applyAlignment="1" applyProtection="1">
      <alignment horizontal="center" vertical="center" shrinkToFit="1"/>
      <protection locked="0"/>
    </xf>
    <xf numFmtId="0" fontId="3" fillId="5" borderId="0" xfId="0" applyFont="1" applyFill="1" applyBorder="1" applyAlignment="1" quotePrefix="1">
      <alignment horizontal="center" vertical="center" wrapText="1"/>
    </xf>
    <xf numFmtId="0" fontId="14" fillId="5" borderId="0" xfId="0" applyFont="1" applyFill="1" applyBorder="1" applyAlignment="1">
      <alignment horizontal="center" vertical="center" wrapText="1"/>
    </xf>
    <xf numFmtId="0" fontId="0" fillId="5" borderId="0" xfId="0" applyFill="1" applyBorder="1" applyAlignment="1">
      <alignment vertical="center" wrapText="1"/>
    </xf>
    <xf numFmtId="0" fontId="2" fillId="5" borderId="9" xfId="0" applyFont="1" applyFill="1" applyBorder="1" applyAlignment="1" applyProtection="1">
      <alignment horizontal="center" vertical="center" wrapText="1"/>
      <protection locked="0"/>
    </xf>
    <xf numFmtId="0" fontId="0" fillId="6" borderId="0" xfId="0" applyFill="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6" borderId="0" xfId="0" applyFill="1" applyAlignment="1">
      <alignment/>
    </xf>
    <xf numFmtId="0" fontId="9" fillId="0" borderId="1" xfId="0" applyFont="1" applyBorder="1" applyAlignment="1">
      <alignment horizontal="center" vertical="top" wrapText="1"/>
    </xf>
    <xf numFmtId="0" fontId="32" fillId="0" borderId="3" xfId="0" applyFont="1" applyBorder="1" applyAlignment="1">
      <alignment/>
    </xf>
    <xf numFmtId="0" fontId="0" fillId="0" borderId="5" xfId="0" applyBorder="1" applyAlignment="1">
      <alignment vertical="top" wrapText="1"/>
    </xf>
    <xf numFmtId="0" fontId="3" fillId="0" borderId="0" xfId="0" applyFont="1" applyAlignment="1">
      <alignment horizontal="center" vertical="center" wrapText="1"/>
    </xf>
    <xf numFmtId="0" fontId="0" fillId="0" borderId="0" xfId="0" applyFont="1" applyAlignment="1">
      <alignment horizontal="left" vertical="center" wrapText="1"/>
    </xf>
    <xf numFmtId="0" fontId="39" fillId="0" borderId="0" xfId="20" applyAlignment="1">
      <alignment horizontal="center" vertical="center" wrapText="1"/>
    </xf>
    <xf numFmtId="0" fontId="0" fillId="0" borderId="0" xfId="0" applyFill="1" applyBorder="1" applyAlignment="1">
      <alignment/>
    </xf>
    <xf numFmtId="14" fontId="26" fillId="3" borderId="0" xfId="0" applyNumberFormat="1" applyFont="1" applyFill="1" applyBorder="1" applyAlignment="1" applyProtection="1">
      <alignment horizontal="center"/>
      <protection/>
    </xf>
    <xf numFmtId="0" fontId="11" fillId="7" borderId="10" xfId="0" applyFont="1" applyFill="1" applyBorder="1" applyAlignment="1" applyProtection="1">
      <alignment horizontal="center"/>
      <protection/>
    </xf>
    <xf numFmtId="0" fontId="27" fillId="0" borderId="3" xfId="0" applyFont="1" applyBorder="1" applyAlignment="1">
      <alignment/>
    </xf>
    <xf numFmtId="0" fontId="25" fillId="0" borderId="3" xfId="0" applyFont="1" applyFill="1" applyBorder="1" applyAlignment="1">
      <alignment vertical="center" wrapText="1"/>
    </xf>
    <xf numFmtId="0" fontId="48" fillId="0" borderId="5" xfId="0" applyFont="1" applyBorder="1" applyAlignment="1">
      <alignment horizontal="right"/>
    </xf>
    <xf numFmtId="0" fontId="48" fillId="0" borderId="0" xfId="0" applyFont="1" applyBorder="1" applyAlignment="1">
      <alignment horizontal="right"/>
    </xf>
    <xf numFmtId="0" fontId="48" fillId="0" borderId="0" xfId="0" applyFont="1" applyBorder="1" applyAlignment="1">
      <alignment horizontal="center"/>
    </xf>
    <xf numFmtId="9" fontId="48" fillId="0" borderId="0" xfId="0" applyNumberFormat="1" applyFont="1" applyBorder="1" applyAlignment="1">
      <alignment horizontal="center"/>
    </xf>
    <xf numFmtId="1" fontId="48" fillId="0" borderId="0" xfId="0" applyNumberFormat="1" applyFont="1" applyBorder="1" applyAlignment="1">
      <alignment horizontal="center"/>
    </xf>
    <xf numFmtId="0" fontId="48" fillId="0" borderId="5" xfId="0" applyFont="1" applyBorder="1" applyAlignment="1">
      <alignment horizontal="center"/>
    </xf>
    <xf numFmtId="0" fontId="0" fillId="0" borderId="0" xfId="0" applyAlignment="1">
      <alignment horizontal="left"/>
    </xf>
    <xf numFmtId="0" fontId="22" fillId="0" borderId="34" xfId="0" applyFont="1" applyBorder="1" applyAlignment="1">
      <alignment horizontal="center" wrapText="1"/>
    </xf>
    <xf numFmtId="0" fontId="22" fillId="0" borderId="0" xfId="0" applyFont="1" applyBorder="1" applyAlignment="1">
      <alignment/>
    </xf>
    <xf numFmtId="0" fontId="13" fillId="0" borderId="0" xfId="0" applyFont="1" applyBorder="1" applyAlignment="1">
      <alignment horizontal="right"/>
    </xf>
    <xf numFmtId="0" fontId="18" fillId="0" borderId="0" xfId="0" applyFont="1" applyBorder="1" applyAlignment="1">
      <alignment/>
    </xf>
    <xf numFmtId="0" fontId="49" fillId="3" borderId="35" xfId="0" applyFont="1" applyFill="1" applyBorder="1" applyAlignment="1" applyProtection="1">
      <alignment horizontal="center" vertical="center" wrapText="1"/>
      <protection locked="0"/>
    </xf>
    <xf numFmtId="0" fontId="0" fillId="0" borderId="0" xfId="0" applyAlignment="1">
      <alignment horizontal="right"/>
    </xf>
    <xf numFmtId="0" fontId="0" fillId="0" borderId="3" xfId="0" applyBorder="1" applyAlignment="1">
      <alignment vertical="center"/>
    </xf>
    <xf numFmtId="0" fontId="22" fillId="0" borderId="0" xfId="0" applyFont="1" applyBorder="1" applyAlignment="1">
      <alignment horizontal="center"/>
    </xf>
    <xf numFmtId="0" fontId="22" fillId="0" borderId="0" xfId="0" applyFont="1" applyBorder="1" applyAlignment="1">
      <alignment horizontal="right"/>
    </xf>
    <xf numFmtId="0" fontId="22" fillId="0" borderId="0" xfId="0" applyFont="1" applyBorder="1" applyAlignment="1">
      <alignment horizontal="center" wrapText="1"/>
    </xf>
    <xf numFmtId="0" fontId="22" fillId="0" borderId="34" xfId="0" applyFont="1" applyBorder="1" applyAlignment="1">
      <alignment horizontal="center" vertical="center" wrapText="1"/>
    </xf>
    <xf numFmtId="0" fontId="22" fillId="0" borderId="0" xfId="0" applyFont="1" applyBorder="1" applyAlignment="1">
      <alignment horizontal="center" vertical="center" wrapText="1"/>
    </xf>
    <xf numFmtId="167" fontId="0" fillId="0" borderId="0" xfId="0" applyNumberFormat="1" applyAlignment="1">
      <alignment horizontal="right"/>
    </xf>
    <xf numFmtId="1" fontId="0" fillId="0" borderId="0" xfId="0" applyNumberFormat="1" applyAlignment="1">
      <alignment horizontal="left"/>
    </xf>
    <xf numFmtId="0" fontId="13" fillId="7" borderId="35" xfId="0" applyFont="1" applyFill="1" applyBorder="1" applyAlignment="1" applyProtection="1">
      <alignment horizontal="center" vertical="center" wrapText="1"/>
      <protection/>
    </xf>
    <xf numFmtId="0" fontId="39" fillId="0" borderId="0" xfId="20" applyBorder="1" applyAlignment="1" applyProtection="1">
      <alignment horizontal="left"/>
      <protection/>
    </xf>
    <xf numFmtId="0" fontId="39" fillId="0" borderId="0" xfId="20" applyBorder="1" applyAlignment="1" applyProtection="1">
      <alignment/>
      <protection/>
    </xf>
    <xf numFmtId="0" fontId="49" fillId="0" borderId="35" xfId="0" applyFont="1" applyFill="1" applyBorder="1" applyAlignment="1" applyProtection="1">
      <alignment horizontal="center" vertical="center" wrapText="1"/>
      <protection/>
    </xf>
    <xf numFmtId="0" fontId="36" fillId="0" borderId="0" xfId="0" applyFont="1" applyBorder="1" applyAlignment="1">
      <alignment horizontal="center"/>
    </xf>
    <xf numFmtId="0" fontId="36" fillId="0" borderId="0" xfId="0" applyFont="1" applyBorder="1" applyAlignment="1">
      <alignment/>
    </xf>
    <xf numFmtId="0" fontId="51" fillId="0" borderId="0" xfId="0" applyFont="1" applyBorder="1" applyAlignment="1">
      <alignment/>
    </xf>
    <xf numFmtId="0" fontId="0" fillId="0" borderId="3" xfId="0" applyBorder="1" applyAlignment="1" applyProtection="1">
      <alignment vertical="center"/>
      <protection/>
    </xf>
    <xf numFmtId="0" fontId="0" fillId="0" borderId="0" xfId="0" applyBorder="1" applyAlignment="1" applyProtection="1">
      <alignment/>
      <protection/>
    </xf>
    <xf numFmtId="0" fontId="13" fillId="0" borderId="0" xfId="0" applyFont="1" applyFill="1" applyBorder="1" applyAlignment="1" applyProtection="1">
      <alignment horizontal="center" vertical="center" wrapText="1"/>
      <protection/>
    </xf>
    <xf numFmtId="0" fontId="36" fillId="0" borderId="0" xfId="0" applyFont="1" applyBorder="1" applyAlignment="1" applyProtection="1">
      <alignment/>
      <protection/>
    </xf>
    <xf numFmtId="0" fontId="0" fillId="0" borderId="7" xfId="0" applyBorder="1" applyAlignment="1" applyProtection="1">
      <alignment/>
      <protection/>
    </xf>
    <xf numFmtId="0" fontId="0" fillId="0" borderId="3" xfId="0" applyBorder="1" applyAlignment="1" applyProtection="1">
      <alignment/>
      <protection/>
    </xf>
    <xf numFmtId="14" fontId="0" fillId="0" borderId="7" xfId="0" applyNumberFormat="1" applyBorder="1" applyAlignment="1">
      <alignment horizontal="center"/>
    </xf>
    <xf numFmtId="0" fontId="39" fillId="0" borderId="0" xfId="20" applyAlignment="1" applyProtection="1">
      <alignment vertical="center" wrapText="1"/>
      <protection locked="0"/>
    </xf>
    <xf numFmtId="0" fontId="39" fillId="0" borderId="7" xfId="20" applyBorder="1" applyAlignment="1" applyProtection="1">
      <alignment/>
      <protection locked="0"/>
    </xf>
    <xf numFmtId="0" fontId="39" fillId="0" borderId="0" xfId="20" applyBorder="1" applyAlignment="1" applyProtection="1">
      <alignment horizontal="center" vertical="top" wrapText="1"/>
      <protection locked="0"/>
    </xf>
    <xf numFmtId="0" fontId="39" fillId="0" borderId="5" xfId="20" applyBorder="1" applyAlignment="1" applyProtection="1">
      <alignment/>
      <protection locked="0"/>
    </xf>
    <xf numFmtId="0" fontId="2" fillId="0" borderId="1" xfId="0" applyFont="1" applyBorder="1" applyAlignment="1">
      <alignment horizontal="left" vertical="center" wrapText="1"/>
    </xf>
    <xf numFmtId="0" fontId="11" fillId="7" borderId="12" xfId="0" applyFont="1" applyFill="1" applyBorder="1" applyAlignment="1" applyProtection="1">
      <alignment horizontal="center"/>
      <protection/>
    </xf>
    <xf numFmtId="0" fontId="11" fillId="7" borderId="13" xfId="0" applyFont="1" applyFill="1" applyBorder="1" applyAlignment="1" applyProtection="1">
      <alignment horizontal="center"/>
      <protection/>
    </xf>
    <xf numFmtId="0" fontId="0" fillId="0" borderId="0" xfId="0" applyFont="1" applyAlignment="1">
      <alignment horizontal="left" vertical="center" wrapText="1"/>
    </xf>
    <xf numFmtId="0" fontId="5" fillId="0" borderId="9" xfId="0" applyFont="1" applyBorder="1" applyAlignment="1">
      <alignment horizontal="center" vertical="center" wrapText="1"/>
    </xf>
    <xf numFmtId="0" fontId="13" fillId="0" borderId="0" xfId="0" applyFont="1" applyBorder="1" applyAlignment="1">
      <alignment horizontal="center"/>
    </xf>
    <xf numFmtId="0" fontId="42" fillId="0" borderId="5" xfId="0" applyFont="1" applyBorder="1" applyAlignment="1">
      <alignment horizontal="left" vertical="center" wrapText="1"/>
    </xf>
    <xf numFmtId="0" fontId="11" fillId="0" borderId="5" xfId="0" applyFont="1" applyBorder="1" applyAlignment="1">
      <alignment horizontal="left" vertical="center" wrapText="1"/>
    </xf>
    <xf numFmtId="0" fontId="3" fillId="0" borderId="5" xfId="0" applyFont="1" applyBorder="1" applyAlignment="1">
      <alignment horizontal="center" vertical="center" wrapText="1"/>
    </xf>
    <xf numFmtId="0" fontId="0" fillId="0" borderId="0" xfId="0" applyBorder="1" applyAlignment="1">
      <alignment horizontal="center" vertical="center" textRotation="90"/>
    </xf>
    <xf numFmtId="0" fontId="0" fillId="0" borderId="0" xfId="0" applyAlignment="1">
      <alignment horizontal="left" vertical="center" wrapText="1"/>
    </xf>
    <xf numFmtId="0" fontId="39" fillId="0" borderId="0" xfId="20" applyAlignment="1">
      <alignment horizontal="left" vertical="center" wrapText="1"/>
    </xf>
    <xf numFmtId="0" fontId="1" fillId="0" borderId="0" xfId="0" applyFont="1" applyAlignment="1">
      <alignment horizontal="center" vertical="center" wrapText="1"/>
    </xf>
    <xf numFmtId="0" fontId="42" fillId="0" borderId="11" xfId="0" applyFont="1" applyBorder="1" applyAlignment="1">
      <alignment horizontal="left" vertical="center" wrapText="1"/>
    </xf>
    <xf numFmtId="0" fontId="22" fillId="0" borderId="34" xfId="0" applyFont="1" applyBorder="1" applyAlignment="1">
      <alignment horizontal="center"/>
    </xf>
    <xf numFmtId="0" fontId="22" fillId="0" borderId="34" xfId="0" applyFont="1" applyBorder="1" applyAlignment="1">
      <alignment horizontal="center" wrapText="1"/>
    </xf>
    <xf numFmtId="0" fontId="11" fillId="0" borderId="0" xfId="0" applyFont="1" applyBorder="1" applyAlignment="1">
      <alignment horizontal="left" vertical="center" wrapText="1"/>
    </xf>
    <xf numFmtId="0" fontId="50" fillId="0" borderId="0" xfId="0" applyFont="1" applyBorder="1" applyAlignment="1">
      <alignment horizontal="left" vertical="top" wrapText="1"/>
    </xf>
    <xf numFmtId="0" fontId="11" fillId="7" borderId="11" xfId="0" applyFont="1" applyFill="1" applyBorder="1" applyAlignment="1">
      <alignment horizontal="center"/>
    </xf>
    <xf numFmtId="0" fontId="11" fillId="7" borderId="1" xfId="0" applyFont="1" applyFill="1" applyBorder="1" applyAlignment="1">
      <alignment horizontal="center"/>
    </xf>
    <xf numFmtId="0" fontId="18" fillId="0" borderId="5" xfId="0" applyFont="1" applyBorder="1" applyAlignment="1">
      <alignment horizontal="right"/>
    </xf>
    <xf numFmtId="0" fontId="18" fillId="0" borderId="6" xfId="0" applyFont="1" applyBorder="1" applyAlignment="1">
      <alignment horizontal="right"/>
    </xf>
    <xf numFmtId="0" fontId="0" fillId="0" borderId="36" xfId="0" applyBorder="1" applyAlignment="1">
      <alignment horizontal="left" vertical="top" wrapText="1"/>
    </xf>
    <xf numFmtId="0" fontId="0" fillId="0" borderId="0"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9" fillId="0" borderId="41" xfId="0"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22" fillId="3" borderId="0" xfId="0" applyFont="1" applyFill="1" applyBorder="1" applyAlignment="1" applyProtection="1">
      <alignment horizontal="left" vertical="top" wrapText="1"/>
      <protection locked="0"/>
    </xf>
    <xf numFmtId="0" fontId="52" fillId="0" borderId="0" xfId="0" applyFont="1" applyBorder="1" applyAlignment="1">
      <alignment horizontal="center" vertical="center"/>
    </xf>
    <xf numFmtId="0" fontId="52" fillId="0" borderId="34" xfId="0" applyFont="1" applyBorder="1" applyAlignment="1">
      <alignment horizontal="center" vertical="center"/>
    </xf>
    <xf numFmtId="0" fontId="13" fillId="0" borderId="0" xfId="0" applyFont="1" applyBorder="1" applyAlignment="1">
      <alignment horizontal="left" vertical="top" wrapText="1"/>
    </xf>
    <xf numFmtId="0" fontId="1" fillId="0" borderId="3" xfId="0" applyFont="1" applyBorder="1" applyAlignment="1">
      <alignment horizontal="center"/>
    </xf>
    <xf numFmtId="0" fontId="1" fillId="0" borderId="0" xfId="0" applyFont="1" applyBorder="1" applyAlignment="1">
      <alignment horizontal="center"/>
    </xf>
    <xf numFmtId="0" fontId="0" fillId="0" borderId="0" xfId="0" applyAlignment="1">
      <alignment horizontal="center"/>
    </xf>
    <xf numFmtId="0" fontId="0" fillId="0" borderId="3" xfId="0" applyBorder="1" applyAlignment="1">
      <alignment horizontal="center" vertical="center" wrapText="1"/>
    </xf>
    <xf numFmtId="0" fontId="8" fillId="0" borderId="0" xfId="0" applyFont="1" applyBorder="1" applyAlignment="1">
      <alignment horizontal="left" vertical="center" wrapText="1"/>
    </xf>
    <xf numFmtId="0" fontId="0" fillId="7" borderId="44" xfId="0" applyFill="1" applyBorder="1" applyAlignment="1">
      <alignment horizontal="center"/>
    </xf>
    <xf numFmtId="0" fontId="0" fillId="8" borderId="44" xfId="0" applyFill="1" applyBorder="1" applyAlignment="1">
      <alignment horizontal="center"/>
    </xf>
    <xf numFmtId="0" fontId="0" fillId="9" borderId="44" xfId="0" applyFill="1" applyBorder="1" applyAlignment="1">
      <alignment horizontal="center"/>
    </xf>
    <xf numFmtId="0" fontId="0" fillId="0" borderId="9" xfId="0" applyFont="1" applyBorder="1" applyAlignment="1">
      <alignment horizontal="center" vertical="center" wrapText="1"/>
    </xf>
    <xf numFmtId="0" fontId="0" fillId="0" borderId="45" xfId="0" applyFont="1" applyBorder="1" applyAlignment="1">
      <alignment horizontal="center" vertical="center" wrapText="1"/>
    </xf>
    <xf numFmtId="0" fontId="15" fillId="7" borderId="3"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3" fillId="0" borderId="0" xfId="0" applyFont="1" applyAlignment="1">
      <alignment horizontal="center" vertical="center" wrapText="1"/>
    </xf>
    <xf numFmtId="0" fontId="7" fillId="0" borderId="9" xfId="0" applyFont="1" applyBorder="1" applyAlignment="1">
      <alignment horizontal="center" vertical="center" textRotation="90" wrapText="1"/>
    </xf>
    <xf numFmtId="0" fontId="9" fillId="0" borderId="0" xfId="0" applyFont="1" applyBorder="1" applyAlignment="1">
      <alignment horizontal="center"/>
    </xf>
    <xf numFmtId="0" fontId="6" fillId="0" borderId="0" xfId="0" applyFont="1" applyBorder="1" applyAlignment="1">
      <alignment horizontal="center" vertical="top" wrapText="1"/>
    </xf>
    <xf numFmtId="0" fontId="28" fillId="0" borderId="22" xfId="0" applyFont="1" applyBorder="1" applyAlignment="1">
      <alignment horizontal="center"/>
    </xf>
    <xf numFmtId="0" fontId="28" fillId="0" borderId="46" xfId="0" applyFont="1" applyBorder="1" applyAlignment="1">
      <alignment horizontal="center"/>
    </xf>
    <xf numFmtId="0" fontId="4" fillId="0" borderId="16" xfId="0" applyFont="1" applyBorder="1" applyAlignment="1">
      <alignment horizontal="center"/>
    </xf>
    <xf numFmtId="0" fontId="4" fillId="0" borderId="14" xfId="0" applyFont="1" applyBorder="1" applyAlignment="1">
      <alignment horizontal="center"/>
    </xf>
    <xf numFmtId="0" fontId="15" fillId="7" borderId="0" xfId="0" applyFont="1" applyFill="1" applyBorder="1" applyAlignment="1">
      <alignment horizontal="left" vertical="top" wrapText="1"/>
    </xf>
    <xf numFmtId="0" fontId="15" fillId="7" borderId="7" xfId="0" applyFont="1" applyFill="1" applyBorder="1" applyAlignment="1">
      <alignment horizontal="left" vertical="top" wrapText="1"/>
    </xf>
    <xf numFmtId="0" fontId="5" fillId="0" borderId="47" xfId="0" applyFont="1" applyBorder="1" applyAlignment="1">
      <alignment horizontal="center" wrapText="1"/>
    </xf>
    <xf numFmtId="0" fontId="8" fillId="5" borderId="3"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wrapText="1"/>
    </xf>
    <xf numFmtId="0" fontId="2" fillId="0" borderId="0" xfId="0" applyFont="1" applyBorder="1" applyAlignment="1">
      <alignment horizontal="center" vertical="center" wrapText="1"/>
    </xf>
    <xf numFmtId="0" fontId="5" fillId="0" borderId="0" xfId="0" applyFont="1" applyBorder="1" applyAlignment="1">
      <alignment horizontal="center" wrapText="1"/>
    </xf>
    <xf numFmtId="0" fontId="13" fillId="0" borderId="0" xfId="0" applyFont="1" applyBorder="1" applyAlignment="1">
      <alignment horizontal="center" vertical="top" wrapText="1"/>
    </xf>
    <xf numFmtId="0" fontId="45" fillId="0" borderId="0" xfId="0" applyFont="1" applyBorder="1" applyAlignment="1">
      <alignment horizontal="left" wrapText="1"/>
    </xf>
    <xf numFmtId="0" fontId="42" fillId="0" borderId="3" xfId="0" applyFont="1" applyBorder="1" applyAlignment="1">
      <alignment horizontal="left" vertical="top" wrapText="1"/>
    </xf>
    <xf numFmtId="0" fontId="2" fillId="0" borderId="0" xfId="0" applyFont="1" applyBorder="1" applyAlignment="1">
      <alignment horizontal="left" vertical="top" wrapText="1"/>
    </xf>
    <xf numFmtId="0" fontId="24" fillId="0" borderId="0" xfId="0" applyFont="1" applyBorder="1" applyAlignment="1">
      <alignment horizontal="center"/>
    </xf>
    <xf numFmtId="0" fontId="5" fillId="5" borderId="48"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horizontal="left" vertical="center" textRotation="90" wrapText="1"/>
    </xf>
    <xf numFmtId="0" fontId="0" fillId="0" borderId="3" xfId="0" applyBorder="1" applyAlignment="1">
      <alignment horizontal="center"/>
    </xf>
    <xf numFmtId="0" fontId="0" fillId="0" borderId="0" xfId="0" applyBorder="1" applyAlignment="1">
      <alignment horizontal="center"/>
    </xf>
    <xf numFmtId="0" fontId="8" fillId="0" borderId="3" xfId="0" applyFont="1" applyBorder="1" applyAlignment="1">
      <alignment horizontal="right"/>
    </xf>
    <xf numFmtId="0" fontId="8" fillId="0" borderId="0" xfId="0" applyFont="1" applyBorder="1" applyAlignment="1">
      <alignment horizontal="right"/>
    </xf>
    <xf numFmtId="0" fontId="8" fillId="0" borderId="3" xfId="0" applyFont="1" applyBorder="1" applyAlignment="1">
      <alignment horizontal="center"/>
    </xf>
    <xf numFmtId="0" fontId="8" fillId="0" borderId="0" xfId="0" applyFont="1" applyBorder="1" applyAlignment="1">
      <alignment horizontal="center"/>
    </xf>
    <xf numFmtId="0" fontId="0" fillId="0" borderId="7" xfId="0" applyBorder="1" applyAlignment="1">
      <alignment horizontal="center"/>
    </xf>
    <xf numFmtId="1" fontId="0" fillId="0" borderId="0" xfId="0" applyNumberFormat="1" applyBorder="1" applyAlignment="1">
      <alignment horizontal="center"/>
    </xf>
    <xf numFmtId="0" fontId="0" fillId="3" borderId="0"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0" borderId="1" xfId="0" applyBorder="1" applyAlignment="1">
      <alignment horizontal="center"/>
    </xf>
    <xf numFmtId="0" fontId="0" fillId="0" borderId="2" xfId="0" applyBorder="1" applyAlignment="1">
      <alignment horizontal="center"/>
    </xf>
    <xf numFmtId="0" fontId="9" fillId="0" borderId="11" xfId="0" applyFont="1" applyBorder="1" applyAlignment="1">
      <alignment horizontal="center"/>
    </xf>
    <xf numFmtId="0" fontId="9" fillId="0" borderId="1" xfId="0" applyFont="1" applyBorder="1" applyAlignment="1">
      <alignment horizontal="center"/>
    </xf>
    <xf numFmtId="0" fontId="0" fillId="0" borderId="0" xfId="0" applyBorder="1" applyAlignment="1">
      <alignment horizontal="center" vertical="top" wrapText="1"/>
    </xf>
    <xf numFmtId="0" fontId="30" fillId="0" borderId="3" xfId="0" applyFont="1" applyBorder="1" applyAlignment="1">
      <alignment horizontal="center" wrapText="1"/>
    </xf>
    <xf numFmtId="0" fontId="30" fillId="0" borderId="0" xfId="0" applyFont="1" applyBorder="1" applyAlignment="1">
      <alignment horizontal="center" wrapText="1"/>
    </xf>
    <xf numFmtId="0" fontId="1" fillId="0" borderId="0" xfId="0" applyFont="1" applyAlignment="1">
      <alignment horizontal="center" vertical="top"/>
    </xf>
    <xf numFmtId="0" fontId="1" fillId="0" borderId="7" xfId="0" applyFont="1" applyBorder="1" applyAlignment="1">
      <alignment horizontal="center" vertical="top"/>
    </xf>
    <xf numFmtId="0" fontId="3" fillId="7" borderId="11" xfId="0" applyFont="1" applyFill="1" applyBorder="1" applyAlignment="1">
      <alignment horizontal="center"/>
    </xf>
    <xf numFmtId="0" fontId="3" fillId="7" borderId="1" xfId="0" applyFont="1" applyFill="1" applyBorder="1" applyAlignment="1">
      <alignment horizontal="center"/>
    </xf>
    <xf numFmtId="0" fontId="3" fillId="7" borderId="3" xfId="0" applyFont="1" applyFill="1" applyBorder="1" applyAlignment="1">
      <alignment horizontal="center"/>
    </xf>
    <xf numFmtId="0" fontId="3" fillId="7" borderId="0" xfId="0" applyFont="1" applyFill="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0" fillId="0" borderId="0" xfId="0" applyBorder="1" applyAlignment="1">
      <alignment horizontal="center" vertical="center" wrapText="1"/>
    </xf>
    <xf numFmtId="1" fontId="3" fillId="0" borderId="12" xfId="0" applyNumberFormat="1" applyFont="1" applyBorder="1" applyAlignment="1">
      <alignment horizontal="center"/>
    </xf>
    <xf numFmtId="0" fontId="3" fillId="0" borderId="15" xfId="0" applyFont="1" applyBorder="1" applyAlignment="1">
      <alignment horizontal="center"/>
    </xf>
    <xf numFmtId="0" fontId="3" fillId="0" borderId="13" xfId="0" applyFont="1" applyBorder="1" applyAlignment="1">
      <alignment horizontal="center"/>
    </xf>
    <xf numFmtId="0" fontId="0" fillId="0" borderId="0" xfId="0" applyBorder="1" applyAlignment="1">
      <alignment horizontal="center" wrapText="1"/>
    </xf>
    <xf numFmtId="0" fontId="2" fillId="3" borderId="0" xfId="0" applyFont="1" applyFill="1" applyBorder="1" applyAlignment="1" applyProtection="1">
      <alignment horizontal="center"/>
      <protection locked="0"/>
    </xf>
    <xf numFmtId="0" fontId="0" fillId="0" borderId="47" xfId="0" applyBorder="1" applyAlignment="1">
      <alignment horizontal="center"/>
    </xf>
    <xf numFmtId="0" fontId="21" fillId="7" borderId="1" xfId="0" applyFont="1" applyFill="1" applyBorder="1" applyAlignment="1">
      <alignment horizontal="center"/>
    </xf>
    <xf numFmtId="0" fontId="21" fillId="7" borderId="2" xfId="0" applyFont="1" applyFill="1" applyBorder="1" applyAlignment="1">
      <alignment horizontal="center"/>
    </xf>
    <xf numFmtId="1" fontId="0" fillId="0" borderId="30" xfId="0" applyNumberFormat="1" applyBorder="1" applyAlignment="1">
      <alignment horizontal="center"/>
    </xf>
    <xf numFmtId="0" fontId="0" fillId="0" borderId="30" xfId="0"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3" fillId="0" borderId="51" xfId="0" applyFont="1" applyBorder="1" applyAlignment="1">
      <alignment horizontal="center"/>
    </xf>
    <xf numFmtId="0" fontId="0" fillId="0" borderId="52" xfId="0" applyBorder="1" applyAlignment="1">
      <alignment horizontal="center"/>
    </xf>
    <xf numFmtId="0" fontId="0" fillId="0" borderId="32" xfId="0" applyBorder="1" applyAlignment="1">
      <alignment horizontal="center"/>
    </xf>
    <xf numFmtId="0" fontId="46" fillId="0" borderId="53" xfId="0" applyFont="1" applyBorder="1" applyAlignment="1">
      <alignment horizontal="center"/>
    </xf>
    <xf numFmtId="0" fontId="46" fillId="0" borderId="54" xfId="0" applyFont="1" applyBorder="1" applyAlignment="1">
      <alignment horizontal="center"/>
    </xf>
    <xf numFmtId="1" fontId="0" fillId="0" borderId="55" xfId="0" applyNumberFormat="1" applyBorder="1" applyAlignment="1">
      <alignment horizontal="center"/>
    </xf>
    <xf numFmtId="0" fontId="6" fillId="0" borderId="0" xfId="0" applyFont="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55" xfId="0" applyBorder="1" applyAlignment="1">
      <alignment horizontal="center"/>
    </xf>
    <xf numFmtId="0" fontId="0" fillId="0" borderId="0" xfId="0" applyBorder="1" applyAlignment="1" applyProtection="1">
      <alignment horizontal="left" vertical="top" wrapText="1"/>
      <protection/>
    </xf>
    <xf numFmtId="0" fontId="0" fillId="0" borderId="7" xfId="0" applyBorder="1" applyAlignment="1" applyProtection="1">
      <alignment horizontal="left" vertical="top" wrapText="1"/>
      <protection/>
    </xf>
    <xf numFmtId="169" fontId="9" fillId="0" borderId="0" xfId="0" applyNumberFormat="1" applyFont="1" applyBorder="1" applyAlignment="1">
      <alignment horizontal="center"/>
    </xf>
    <xf numFmtId="1" fontId="32" fillId="0" borderId="0" xfId="0" applyNumberFormat="1" applyFont="1" applyBorder="1" applyAlignment="1">
      <alignment horizontal="center"/>
    </xf>
    <xf numFmtId="0" fontId="47" fillId="0" borderId="0" xfId="0" applyFont="1" applyBorder="1" applyAlignment="1">
      <alignment horizontal="center" vertical="top" wrapText="1"/>
    </xf>
    <xf numFmtId="0" fontId="21" fillId="0" borderId="0" xfId="0" applyFont="1" applyBorder="1" applyAlignment="1">
      <alignment horizontal="left" vertical="top" wrapText="1"/>
    </xf>
    <xf numFmtId="0" fontId="0" fillId="4" borderId="0" xfId="0" applyFill="1" applyBorder="1" applyAlignment="1" applyProtection="1">
      <alignment horizontal="left" vertical="top" wrapText="1"/>
      <protection locked="0"/>
    </xf>
    <xf numFmtId="0" fontId="9" fillId="0" borderId="0" xfId="0" applyFont="1" applyAlignment="1">
      <alignment horizontal="center" vertical="top" wrapText="1"/>
    </xf>
    <xf numFmtId="0" fontId="3"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9">
    <dxf>
      <font>
        <color rgb="FFFFFFFF"/>
      </font>
      <border/>
    </dxf>
    <dxf>
      <font>
        <color auto="1"/>
      </font>
      <fill>
        <patternFill>
          <bgColor rgb="FFCC99FF"/>
        </patternFill>
      </fill>
      <border/>
    </dxf>
    <dxf>
      <fill>
        <patternFill patternType="solid">
          <bgColor rgb="FFCC99FF"/>
        </patternFill>
      </fill>
      <border/>
    </dxf>
    <dxf>
      <fill>
        <patternFill patternType="none">
          <bgColor indexed="65"/>
        </patternFill>
      </fill>
      <border/>
    </dxf>
    <dxf>
      <fill>
        <patternFill>
          <bgColor rgb="FFFFFFCC"/>
        </patternFill>
      </fill>
      <border/>
    </dxf>
    <dxf>
      <font>
        <color rgb="FFFFFFFF"/>
      </font>
      <fill>
        <patternFill>
          <bgColor rgb="FFFF0000"/>
        </patternFill>
      </fill>
      <border/>
    </dxf>
    <dxf>
      <fill>
        <patternFill patternType="solid">
          <bgColor rgb="FFFFFFCC"/>
        </patternFill>
      </fill>
      <border/>
    </dxf>
    <dxf>
      <font>
        <color auto="1"/>
      </font>
      <fill>
        <patternFill>
          <bgColor rgb="FFFF99CC"/>
        </patternFill>
      </fill>
      <border/>
    </dxf>
    <dxf>
      <font>
        <b/>
        <i/>
        <color rgb="FFFF0000"/>
      </font>
      <fill>
        <patternFill>
          <bgColor rgb="FFCCFFCC"/>
        </patternFill>
      </fill>
      <border>
        <left style="dashed">
          <color rgb="FFFF0000"/>
        </left>
        <right style="dashed">
          <color rgb="FFFF0000"/>
        </right>
        <top style="dashed"/>
        <bottom style="dashed">
          <color rgb="FFFF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QA!$D$54:$D$59</c:f>
              <c:numCache>
                <c:ptCount val="6"/>
                <c:pt idx="0">
                  <c:v>0</c:v>
                </c:pt>
                <c:pt idx="1">
                  <c:v>0</c:v>
                </c:pt>
                <c:pt idx="2">
                  <c:v>0</c:v>
                </c:pt>
                <c:pt idx="3">
                  <c:v>0</c:v>
                </c:pt>
                <c:pt idx="4">
                  <c:v>0</c:v>
                </c:pt>
                <c:pt idx="5">
                  <c:v>0</c:v>
                </c:pt>
              </c:numCache>
            </c:numRef>
          </c:val>
        </c:ser>
        <c:axId val="59446063"/>
        <c:axId val="65252520"/>
      </c:radarChart>
      <c:catAx>
        <c:axId val="59446063"/>
        <c:scaling>
          <c:orientation val="minMax"/>
        </c:scaling>
        <c:axPos val="b"/>
        <c:majorGridlines/>
        <c:delete val="0"/>
        <c:numFmt formatCode="General" sourceLinked="1"/>
        <c:majorTickMark val="out"/>
        <c:minorTickMark val="none"/>
        <c:tickLblPos val="nextTo"/>
        <c:crossAx val="65252520"/>
        <c:crosses val="autoZero"/>
        <c:auto val="1"/>
        <c:lblOffset val="100"/>
        <c:noMultiLvlLbl val="0"/>
      </c:catAx>
      <c:valAx>
        <c:axId val="65252520"/>
        <c:scaling>
          <c:orientation val="minMax"/>
        </c:scaling>
        <c:axPos val="l"/>
        <c:majorGridlines/>
        <c:delete val="0"/>
        <c:numFmt formatCode="General" sourceLinked="1"/>
        <c:majorTickMark val="in"/>
        <c:minorTickMark val="none"/>
        <c:tickLblPos val="nextTo"/>
        <c:crossAx val="59446063"/>
        <c:crossesAt val="1"/>
        <c:crossBetween val="between"/>
        <c:dispUnits/>
      </c:valAx>
      <c:spPr>
        <a:noFill/>
        <a:ln>
          <a:no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xdr:row>
      <xdr:rowOff>85725</xdr:rowOff>
    </xdr:from>
    <xdr:to>
      <xdr:col>12</xdr:col>
      <xdr:colOff>66675</xdr:colOff>
      <xdr:row>3</xdr:row>
      <xdr:rowOff>85725</xdr:rowOff>
    </xdr:to>
    <xdr:sp>
      <xdr:nvSpPr>
        <xdr:cNvPr id="1" name="Line 1"/>
        <xdr:cNvSpPr>
          <a:spLocks/>
        </xdr:cNvSpPr>
      </xdr:nvSpPr>
      <xdr:spPr>
        <a:xfrm>
          <a:off x="2105025" y="1533525"/>
          <a:ext cx="5791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20</xdr:row>
      <xdr:rowOff>95250</xdr:rowOff>
    </xdr:from>
    <xdr:to>
      <xdr:col>11</xdr:col>
      <xdr:colOff>142875</xdr:colOff>
      <xdr:row>20</xdr:row>
      <xdr:rowOff>104775</xdr:rowOff>
    </xdr:to>
    <xdr:sp>
      <xdr:nvSpPr>
        <xdr:cNvPr id="2" name="Line 2"/>
        <xdr:cNvSpPr>
          <a:spLocks/>
        </xdr:cNvSpPr>
      </xdr:nvSpPr>
      <xdr:spPr>
        <a:xfrm flipV="1">
          <a:off x="2447925" y="5991225"/>
          <a:ext cx="4848225" cy="95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4</xdr:row>
      <xdr:rowOff>76200</xdr:rowOff>
    </xdr:from>
    <xdr:to>
      <xdr:col>6</xdr:col>
      <xdr:colOff>333375</xdr:colOff>
      <xdr:row>4</xdr:row>
      <xdr:rowOff>76200</xdr:rowOff>
    </xdr:to>
    <xdr:sp>
      <xdr:nvSpPr>
        <xdr:cNvPr id="1" name="Line 1"/>
        <xdr:cNvSpPr>
          <a:spLocks/>
        </xdr:cNvSpPr>
      </xdr:nvSpPr>
      <xdr:spPr>
        <a:xfrm flipH="1">
          <a:off x="3648075" y="7334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428625</xdr:colOff>
      <xdr:row>32</xdr:row>
      <xdr:rowOff>9525</xdr:rowOff>
    </xdr:from>
    <xdr:to>
      <xdr:col>9</xdr:col>
      <xdr:colOff>428625</xdr:colOff>
      <xdr:row>32</xdr:row>
      <xdr:rowOff>161925</xdr:rowOff>
    </xdr:to>
    <xdr:sp>
      <xdr:nvSpPr>
        <xdr:cNvPr id="2" name="Line 4"/>
        <xdr:cNvSpPr>
          <a:spLocks/>
        </xdr:cNvSpPr>
      </xdr:nvSpPr>
      <xdr:spPr>
        <a:xfrm>
          <a:off x="5648325" y="81057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457200</xdr:colOff>
      <xdr:row>34</xdr:row>
      <xdr:rowOff>0</xdr:rowOff>
    </xdr:from>
    <xdr:to>
      <xdr:col>9</xdr:col>
      <xdr:colOff>457200</xdr:colOff>
      <xdr:row>34</xdr:row>
      <xdr:rowOff>161925</xdr:rowOff>
    </xdr:to>
    <xdr:sp>
      <xdr:nvSpPr>
        <xdr:cNvPr id="3" name="Line 5"/>
        <xdr:cNvSpPr>
          <a:spLocks/>
        </xdr:cNvSpPr>
      </xdr:nvSpPr>
      <xdr:spPr>
        <a:xfrm>
          <a:off x="5676900" y="86201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457200</xdr:colOff>
      <xdr:row>36</xdr:row>
      <xdr:rowOff>0</xdr:rowOff>
    </xdr:from>
    <xdr:to>
      <xdr:col>9</xdr:col>
      <xdr:colOff>457200</xdr:colOff>
      <xdr:row>36</xdr:row>
      <xdr:rowOff>161925</xdr:rowOff>
    </xdr:to>
    <xdr:sp>
      <xdr:nvSpPr>
        <xdr:cNvPr id="4" name="Line 6"/>
        <xdr:cNvSpPr>
          <a:spLocks/>
        </xdr:cNvSpPr>
      </xdr:nvSpPr>
      <xdr:spPr>
        <a:xfrm>
          <a:off x="5676900" y="91440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38</xdr:row>
      <xdr:rowOff>9525</xdr:rowOff>
    </xdr:from>
    <xdr:to>
      <xdr:col>9</xdr:col>
      <xdr:colOff>447675</xdr:colOff>
      <xdr:row>38</xdr:row>
      <xdr:rowOff>161925</xdr:rowOff>
    </xdr:to>
    <xdr:sp>
      <xdr:nvSpPr>
        <xdr:cNvPr id="5" name="Line 7"/>
        <xdr:cNvSpPr>
          <a:spLocks/>
        </xdr:cNvSpPr>
      </xdr:nvSpPr>
      <xdr:spPr>
        <a:xfrm>
          <a:off x="5667375" y="96774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457200</xdr:colOff>
      <xdr:row>40</xdr:row>
      <xdr:rowOff>0</xdr:rowOff>
    </xdr:from>
    <xdr:to>
      <xdr:col>9</xdr:col>
      <xdr:colOff>457200</xdr:colOff>
      <xdr:row>40</xdr:row>
      <xdr:rowOff>161925</xdr:rowOff>
    </xdr:to>
    <xdr:sp>
      <xdr:nvSpPr>
        <xdr:cNvPr id="6" name="Line 8"/>
        <xdr:cNvSpPr>
          <a:spLocks/>
        </xdr:cNvSpPr>
      </xdr:nvSpPr>
      <xdr:spPr>
        <a:xfrm>
          <a:off x="5676900" y="101917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52</xdr:row>
      <xdr:rowOff>28575</xdr:rowOff>
    </xdr:from>
    <xdr:to>
      <xdr:col>2</xdr:col>
      <xdr:colOff>2209800</xdr:colOff>
      <xdr:row>64</xdr:row>
      <xdr:rowOff>57150</xdr:rowOff>
    </xdr:to>
    <xdr:graphicFrame>
      <xdr:nvGraphicFramePr>
        <xdr:cNvPr id="7" name="Chart 12"/>
        <xdr:cNvGraphicFramePr/>
      </xdr:nvGraphicFramePr>
      <xdr:xfrm>
        <a:off x="209550" y="12392025"/>
        <a:ext cx="2447925" cy="1971675"/>
      </xdr:xfrm>
      <a:graphic>
        <a:graphicData uri="http://schemas.openxmlformats.org/drawingml/2006/chart">
          <c:chart xmlns:c="http://schemas.openxmlformats.org/drawingml/2006/chart" r:id="rId1"/>
        </a:graphicData>
      </a:graphic>
    </xdr:graphicFrame>
    <xdr:clientData/>
  </xdr:twoCellAnchor>
  <xdr:twoCellAnchor>
    <xdr:from>
      <xdr:col>6</xdr:col>
      <xdr:colOff>47625</xdr:colOff>
      <xdr:row>5</xdr:row>
      <xdr:rowOff>180975</xdr:rowOff>
    </xdr:from>
    <xdr:to>
      <xdr:col>6</xdr:col>
      <xdr:colOff>314325</xdr:colOff>
      <xdr:row>5</xdr:row>
      <xdr:rowOff>180975</xdr:rowOff>
    </xdr:to>
    <xdr:sp>
      <xdr:nvSpPr>
        <xdr:cNvPr id="8" name="Line 13"/>
        <xdr:cNvSpPr>
          <a:spLocks/>
        </xdr:cNvSpPr>
      </xdr:nvSpPr>
      <xdr:spPr>
        <a:xfrm flipH="1">
          <a:off x="3629025" y="10858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F34"/>
  <sheetViews>
    <sheetView tabSelected="1" zoomScale="75" zoomScaleNormal="75" workbookViewId="0" topLeftCell="A1">
      <selection activeCell="D4" sqref="D4"/>
    </sheetView>
  </sheetViews>
  <sheetFormatPr defaultColWidth="9.140625" defaultRowHeight="12.75"/>
  <cols>
    <col min="1" max="1" width="1.57421875" style="0" customWidth="1"/>
    <col min="2" max="2" width="5.28125" style="0" customWidth="1"/>
    <col min="3" max="3" width="29.8515625" style="0" customWidth="1"/>
    <col min="4" max="4" width="44.7109375" style="0" customWidth="1"/>
    <col min="6" max="6" width="11.140625" style="0" customWidth="1"/>
  </cols>
  <sheetData>
    <row r="1" ht="4.5" customHeight="1" thickBot="1"/>
    <row r="2" spans="2:6" ht="21" thickTop="1">
      <c r="B2" s="256" t="s">
        <v>213</v>
      </c>
      <c r="C2" s="257"/>
      <c r="D2" s="257"/>
      <c r="E2" s="257"/>
      <c r="F2" s="15" t="s">
        <v>209</v>
      </c>
    </row>
    <row r="3" spans="2:6" ht="13.5" thickBot="1">
      <c r="B3" s="35"/>
      <c r="C3" s="74" t="s">
        <v>497</v>
      </c>
      <c r="E3" s="20"/>
      <c r="F3" s="233">
        <v>37916</v>
      </c>
    </row>
    <row r="4" spans="2:6" ht="14.25" thickBot="1" thickTop="1">
      <c r="B4" s="35"/>
      <c r="C4" s="20" t="s">
        <v>435</v>
      </c>
      <c r="D4" s="75"/>
      <c r="E4" s="20"/>
      <c r="F4" s="145">
        <f>QA!D6</f>
        <v>0</v>
      </c>
    </row>
    <row r="5" spans="2:6" ht="14.25" thickBot="1" thickTop="1">
      <c r="B5" s="35"/>
      <c r="C5" s="20" t="s">
        <v>436</v>
      </c>
      <c r="D5" s="75"/>
      <c r="E5" s="20"/>
      <c r="F5" s="146" t="str">
        <f>CONCATENATE(QA!D9,ROUND(QA!E9,0))</f>
        <v>A8</v>
      </c>
    </row>
    <row r="6" spans="2:6" ht="15.75" thickTop="1">
      <c r="B6" s="35"/>
      <c r="C6" s="20" t="s">
        <v>437</v>
      </c>
      <c r="D6" s="93"/>
      <c r="E6" s="20"/>
      <c r="F6" s="21"/>
    </row>
    <row r="7" spans="2:6" ht="15">
      <c r="B7" s="35"/>
      <c r="C7" s="194" t="s">
        <v>100</v>
      </c>
      <c r="D7" s="195">
        <f>TODAY()</f>
        <v>38326</v>
      </c>
      <c r="E7" s="20"/>
      <c r="F7" s="21"/>
    </row>
    <row r="8" spans="2:6" ht="12.75">
      <c r="B8" s="35"/>
      <c r="C8" s="20" t="s">
        <v>438</v>
      </c>
      <c r="D8" s="75"/>
      <c r="E8" s="20"/>
      <c r="F8" s="21"/>
    </row>
    <row r="9" spans="2:6" ht="12.75">
      <c r="B9" s="35"/>
      <c r="C9" s="20" t="s">
        <v>439</v>
      </c>
      <c r="D9" s="75"/>
      <c r="E9" s="20"/>
      <c r="F9" s="21"/>
    </row>
    <row r="10" spans="2:6" ht="12.75">
      <c r="B10" s="35"/>
      <c r="C10" s="20" t="s">
        <v>207</v>
      </c>
      <c r="D10" s="75"/>
      <c r="E10" s="20"/>
      <c r="F10" s="21"/>
    </row>
    <row r="11" spans="2:6" s="114" customFormat="1" ht="88.5" customHeight="1">
      <c r="B11" s="110"/>
      <c r="C11" s="111" t="s">
        <v>39</v>
      </c>
      <c r="D11" s="269"/>
      <c r="E11" s="269"/>
      <c r="F11" s="113"/>
    </row>
    <row r="12" spans="2:6" ht="12.75">
      <c r="B12" s="35"/>
      <c r="C12" s="20"/>
      <c r="D12" s="20"/>
      <c r="E12" s="20"/>
      <c r="F12" s="21"/>
    </row>
    <row r="13" spans="2:6" ht="12.75">
      <c r="B13" s="35"/>
      <c r="C13" s="173" t="s">
        <v>94</v>
      </c>
      <c r="D13" s="173" t="s">
        <v>91</v>
      </c>
      <c r="E13" s="20"/>
      <c r="F13" s="21"/>
    </row>
    <row r="14" spans="2:6" ht="12.75">
      <c r="B14" s="35"/>
      <c r="C14" s="194" t="s">
        <v>32</v>
      </c>
      <c r="D14" s="221" t="s">
        <v>33</v>
      </c>
      <c r="E14" s="54"/>
      <c r="F14" s="21"/>
    </row>
    <row r="15" spans="2:6" ht="12.75">
      <c r="B15" s="35"/>
      <c r="C15" s="20" t="s">
        <v>441</v>
      </c>
      <c r="D15" s="222" t="s">
        <v>442</v>
      </c>
      <c r="E15" s="54"/>
      <c r="F15" s="21"/>
    </row>
    <row r="16" spans="2:6" ht="12.75">
      <c r="B16" s="35"/>
      <c r="C16" s="20"/>
      <c r="D16" s="222" t="s">
        <v>79</v>
      </c>
      <c r="E16" s="54"/>
      <c r="F16" s="21"/>
    </row>
    <row r="17" spans="2:6" ht="12.75">
      <c r="B17" s="35"/>
      <c r="C17" s="20" t="s">
        <v>443</v>
      </c>
      <c r="D17" s="222" t="s">
        <v>80</v>
      </c>
      <c r="E17" s="54"/>
      <c r="F17" s="21"/>
    </row>
    <row r="18" spans="2:6" ht="12.75">
      <c r="B18" s="35"/>
      <c r="C18" s="20"/>
      <c r="D18" s="222" t="s">
        <v>81</v>
      </c>
      <c r="E18" s="54"/>
      <c r="F18" s="21"/>
    </row>
    <row r="19" spans="2:6" ht="12.75">
      <c r="B19" s="35"/>
      <c r="C19" s="20" t="s">
        <v>444</v>
      </c>
      <c r="D19" s="222" t="s">
        <v>82</v>
      </c>
      <c r="E19" s="54"/>
      <c r="F19" s="21"/>
    </row>
    <row r="20" spans="2:6" ht="12.75">
      <c r="B20" s="35"/>
      <c r="C20" s="20"/>
      <c r="D20" s="222" t="s">
        <v>83</v>
      </c>
      <c r="E20" s="54"/>
      <c r="F20" s="21"/>
    </row>
    <row r="21" spans="2:6" ht="12.75">
      <c r="B21" s="35"/>
      <c r="C21" s="20"/>
      <c r="D21" s="222" t="s">
        <v>84</v>
      </c>
      <c r="E21" s="54"/>
      <c r="F21" s="21"/>
    </row>
    <row r="22" spans="2:6" ht="12.75">
      <c r="B22" s="35"/>
      <c r="C22" s="20" t="s">
        <v>445</v>
      </c>
      <c r="D22" s="222" t="s">
        <v>85</v>
      </c>
      <c r="E22" s="54"/>
      <c r="F22" s="21"/>
    </row>
    <row r="23" spans="2:6" ht="12.75">
      <c r="B23" s="35"/>
      <c r="C23" s="20"/>
      <c r="D23" s="222" t="s">
        <v>86</v>
      </c>
      <c r="E23" s="54"/>
      <c r="F23" s="21"/>
    </row>
    <row r="24" spans="2:6" ht="12.75">
      <c r="B24" s="35"/>
      <c r="C24" s="20" t="s">
        <v>446</v>
      </c>
      <c r="D24" s="222" t="s">
        <v>87</v>
      </c>
      <c r="E24" s="54"/>
      <c r="F24" s="21"/>
    </row>
    <row r="25" spans="2:6" ht="12.75">
      <c r="B25" s="35"/>
      <c r="C25" s="20" t="s">
        <v>464</v>
      </c>
      <c r="D25" s="222" t="s">
        <v>88</v>
      </c>
      <c r="E25" s="54"/>
      <c r="F25" s="21"/>
    </row>
    <row r="26" spans="2:6" ht="12.75">
      <c r="B26" s="35"/>
      <c r="C26" s="20"/>
      <c r="D26" s="222" t="s">
        <v>252</v>
      </c>
      <c r="E26" s="54"/>
      <c r="F26" s="21"/>
    </row>
    <row r="27" spans="2:6" ht="12.75">
      <c r="B27" s="35"/>
      <c r="C27" s="20"/>
      <c r="D27" s="172"/>
      <c r="E27" s="54"/>
      <c r="F27" s="21"/>
    </row>
    <row r="28" spans="2:6" ht="12.75">
      <c r="B28" s="35"/>
      <c r="C28" s="20"/>
      <c r="D28" s="20"/>
      <c r="E28" s="20"/>
      <c r="F28" s="21"/>
    </row>
    <row r="29" spans="2:6" ht="12.75">
      <c r="B29" s="35"/>
      <c r="C29" s="20"/>
      <c r="D29" s="20"/>
      <c r="E29" s="20"/>
      <c r="F29" s="21"/>
    </row>
    <row r="30" spans="2:6" ht="15.75">
      <c r="B30" s="35"/>
      <c r="C30" s="266" t="s">
        <v>503</v>
      </c>
      <c r="D30" s="267"/>
      <c r="E30" s="268"/>
      <c r="F30" s="21"/>
    </row>
    <row r="31" spans="2:6" ht="18.75" customHeight="1">
      <c r="B31" s="35"/>
      <c r="C31" s="260" t="s">
        <v>89</v>
      </c>
      <c r="D31" s="261"/>
      <c r="E31" s="262"/>
      <c r="F31" s="21"/>
    </row>
    <row r="32" spans="2:6" ht="31.5" customHeight="1">
      <c r="B32" s="35"/>
      <c r="C32" s="260" t="s">
        <v>90</v>
      </c>
      <c r="D32" s="261"/>
      <c r="E32" s="262"/>
      <c r="F32" s="21"/>
    </row>
    <row r="33" spans="2:6" ht="12.75">
      <c r="B33" s="35"/>
      <c r="C33" s="263" t="s">
        <v>208</v>
      </c>
      <c r="D33" s="264"/>
      <c r="E33" s="265"/>
      <c r="F33" s="21"/>
    </row>
    <row r="34" spans="2:6" ht="13.5" thickBot="1">
      <c r="B34" s="94" t="s">
        <v>515</v>
      </c>
      <c r="C34" s="147" t="str">
        <f>IF(QA!K8="","NOK","OK")</f>
        <v>NOK</v>
      </c>
      <c r="D34" s="258" t="s">
        <v>502</v>
      </c>
      <c r="E34" s="258"/>
      <c r="F34" s="259"/>
    </row>
    <row r="35" ht="13.5" thickTop="1"/>
  </sheetData>
  <sheetProtection password="CA99" sheet="1" objects="1" scenarios="1"/>
  <mergeCells count="7">
    <mergeCell ref="B2:E2"/>
    <mergeCell ref="D34:F34"/>
    <mergeCell ref="C32:E32"/>
    <mergeCell ref="C33:E33"/>
    <mergeCell ref="C31:E31"/>
    <mergeCell ref="C30:E30"/>
    <mergeCell ref="D11:E11"/>
  </mergeCells>
  <conditionalFormatting sqref="F4:F5">
    <cfRule type="expression" priority="1" dxfId="0" stopIfTrue="1">
      <formula>$C$34="NOK"</formula>
    </cfRule>
  </conditionalFormatting>
  <hyperlinks>
    <hyperlink ref="D15" location="Shortp!H3" display="1. Short Profile"/>
    <hyperlink ref="D16" location="Shortp!F15" display="2. Rough-cut analysis"/>
    <hyperlink ref="D17" location="Knowhow!G5" display="3. Depth of Knowledge"/>
    <hyperlink ref="D18" location="Knowhow!N5" display="4. Breadth of Management"/>
    <hyperlink ref="D19" location="Problem!F4" display="5. Freedom to Think"/>
    <hyperlink ref="D20" location="Problem!N4" display="6. Thinking Challenge"/>
    <hyperlink ref="D22" location="Account!F5" display="8. Freedom to Act"/>
    <hyperlink ref="D23" location="Account!N5" display="9. Area and Type of Impact"/>
    <hyperlink ref="D21" location="Problem!S5" display="7. Cross checking Problem Solving percentages"/>
    <hyperlink ref="D24" location="QA!K4" display="10. Quality Control  checks"/>
    <hyperlink ref="D25" location="Report1!A1" display="11. Summary report"/>
    <hyperlink ref="D26" location="Report2!A1" display="12. Parameter Description report"/>
    <hyperlink ref="D14" location="Scoping!D6" display="Scoping Table"/>
  </hyperlinks>
  <printOptions/>
  <pageMargins left="0.75" right="0.75" top="1" bottom="1" header="0.5" footer="0.5"/>
  <pageSetup fitToHeight="1" fitToWidth="1" horizontalDpi="300" verticalDpi="300" orientation="portrait" paperSize="9" scale="79" r:id="rId3"/>
  <headerFooter alignWithMargins="0">
    <oddFooter>&amp;L&amp;N&amp;CPage 1</oddFooter>
  </headerFooter>
  <legacyDrawing r:id="rId2"/>
</worksheet>
</file>

<file path=xl/worksheets/sheet10.xml><?xml version="1.0" encoding="utf-8"?>
<worksheet xmlns="http://schemas.openxmlformats.org/spreadsheetml/2006/main" xmlns:r="http://schemas.openxmlformats.org/officeDocument/2006/relationships">
  <sheetPr codeName="Sheet9">
    <pageSetUpPr fitToPage="1"/>
  </sheetPr>
  <dimension ref="A1:U32"/>
  <sheetViews>
    <sheetView zoomScale="60" zoomScaleNormal="60" workbookViewId="0" topLeftCell="M32">
      <selection activeCell="O54" sqref="O54"/>
    </sheetView>
  </sheetViews>
  <sheetFormatPr defaultColWidth="9.140625" defaultRowHeight="12.75"/>
  <cols>
    <col min="1" max="1" width="3.00390625" style="187" customWidth="1"/>
    <col min="2" max="2" width="25.8515625" style="0" customWidth="1"/>
    <col min="3" max="3" width="68.7109375" style="0" customWidth="1"/>
    <col min="4" max="4" width="3.00390625" style="187" customWidth="1"/>
    <col min="5" max="5" width="25.140625" style="0" customWidth="1"/>
    <col min="6" max="6" width="60.140625" style="0" customWidth="1"/>
    <col min="7" max="7" width="3.00390625" style="187" customWidth="1"/>
    <col min="8" max="8" width="42.7109375" style="0" customWidth="1"/>
    <col min="9" max="9" width="46.00390625" style="0" customWidth="1"/>
    <col min="10" max="10" width="2.421875" style="0" bestFit="1" customWidth="1"/>
    <col min="11" max="11" width="24.140625" style="0" customWidth="1"/>
    <col min="12" max="12" width="61.8515625" style="0" customWidth="1"/>
    <col min="13" max="13" width="3.140625" style="0" customWidth="1"/>
    <col min="14" max="14" width="23.421875" style="0" customWidth="1"/>
    <col min="15" max="15" width="46.7109375" style="0" customWidth="1"/>
    <col min="16" max="16" width="3.7109375" style="0" customWidth="1"/>
    <col min="17" max="17" width="11.57421875" style="0" customWidth="1"/>
    <col min="18" max="18" width="36.00390625" style="0" customWidth="1"/>
    <col min="19" max="19" width="70.421875" style="0" customWidth="1"/>
    <col min="20" max="20" width="2.421875" style="0" bestFit="1" customWidth="1"/>
  </cols>
  <sheetData>
    <row r="1" spans="1:21" ht="25.5" customHeight="1" hidden="1">
      <c r="A1" s="184"/>
      <c r="B1" s="368" t="s">
        <v>592</v>
      </c>
      <c r="C1" s="368"/>
      <c r="D1" s="184"/>
      <c r="E1" s="368" t="s">
        <v>34</v>
      </c>
      <c r="F1" s="368"/>
      <c r="G1" s="184"/>
      <c r="H1" s="368" t="s">
        <v>151</v>
      </c>
      <c r="I1" s="368"/>
      <c r="J1" s="184"/>
      <c r="K1" s="368" t="s">
        <v>152</v>
      </c>
      <c r="L1" s="368"/>
      <c r="M1" s="184"/>
      <c r="N1" s="368" t="s">
        <v>153</v>
      </c>
      <c r="O1" s="368"/>
      <c r="P1" s="184"/>
      <c r="Q1" s="368" t="s">
        <v>154</v>
      </c>
      <c r="R1" s="368"/>
      <c r="S1" s="368"/>
      <c r="T1" s="184"/>
      <c r="U1" s="185"/>
    </row>
    <row r="2" spans="1:21" ht="63.75" hidden="1">
      <c r="A2" s="184">
        <v>0</v>
      </c>
      <c r="B2" s="185" t="s">
        <v>155</v>
      </c>
      <c r="C2" s="186" t="s">
        <v>156</v>
      </c>
      <c r="D2" s="184">
        <v>0</v>
      </c>
      <c r="E2" s="185" t="s">
        <v>157</v>
      </c>
      <c r="F2" s="185" t="s">
        <v>158</v>
      </c>
      <c r="G2" s="184">
        <v>0</v>
      </c>
      <c r="H2" s="185" t="s">
        <v>159</v>
      </c>
      <c r="I2" s="185" t="s">
        <v>160</v>
      </c>
      <c r="J2" s="184">
        <v>0</v>
      </c>
      <c r="K2" s="185" t="s">
        <v>161</v>
      </c>
      <c r="L2" s="185" t="s">
        <v>162</v>
      </c>
      <c r="M2" s="184">
        <v>0</v>
      </c>
      <c r="N2" s="185" t="s">
        <v>163</v>
      </c>
      <c r="O2" s="185"/>
      <c r="P2" s="184">
        <v>0</v>
      </c>
      <c r="Q2" s="185" t="s">
        <v>164</v>
      </c>
      <c r="R2" s="185" t="s">
        <v>165</v>
      </c>
      <c r="S2" s="185"/>
      <c r="T2" s="184"/>
      <c r="U2" s="185"/>
    </row>
    <row r="3" spans="1:21" ht="63.75" hidden="1">
      <c r="A3" s="184">
        <v>1</v>
      </c>
      <c r="B3" s="185" t="s">
        <v>155</v>
      </c>
      <c r="C3" s="186" t="s">
        <v>166</v>
      </c>
      <c r="D3" s="184">
        <v>1</v>
      </c>
      <c r="E3" s="185" t="s">
        <v>157</v>
      </c>
      <c r="F3" s="185" t="s">
        <v>167</v>
      </c>
      <c r="G3" s="184">
        <v>1</v>
      </c>
      <c r="H3" s="185" t="s">
        <v>159</v>
      </c>
      <c r="I3" s="185" t="s">
        <v>168</v>
      </c>
      <c r="J3" s="184">
        <v>1</v>
      </c>
      <c r="K3" s="185" t="s">
        <v>161</v>
      </c>
      <c r="L3" s="185" t="s">
        <v>169</v>
      </c>
      <c r="M3" s="184">
        <v>1</v>
      </c>
      <c r="N3" s="185" t="s">
        <v>163</v>
      </c>
      <c r="O3" s="185" t="s">
        <v>170</v>
      </c>
      <c r="P3" s="184">
        <v>1</v>
      </c>
      <c r="Q3" s="185" t="s">
        <v>164</v>
      </c>
      <c r="R3" s="185" t="s">
        <v>171</v>
      </c>
      <c r="S3" s="185"/>
      <c r="T3" s="184"/>
      <c r="U3" s="185"/>
    </row>
    <row r="4" spans="1:21" ht="63.75" hidden="1">
      <c r="A4" s="184">
        <v>2</v>
      </c>
      <c r="B4" s="185" t="s">
        <v>155</v>
      </c>
      <c r="C4" s="185" t="s">
        <v>172</v>
      </c>
      <c r="D4" s="184">
        <v>2</v>
      </c>
      <c r="E4" s="185" t="s">
        <v>157</v>
      </c>
      <c r="F4" s="186" t="s">
        <v>173</v>
      </c>
      <c r="G4" s="184">
        <v>2</v>
      </c>
      <c r="H4" s="185" t="s">
        <v>174</v>
      </c>
      <c r="I4" s="185" t="s">
        <v>175</v>
      </c>
      <c r="J4" s="184">
        <v>2</v>
      </c>
      <c r="K4" s="185" t="s">
        <v>176</v>
      </c>
      <c r="L4" s="186" t="s">
        <v>177</v>
      </c>
      <c r="M4" s="184">
        <v>2</v>
      </c>
      <c r="N4" s="185" t="s">
        <v>163</v>
      </c>
      <c r="O4" s="185" t="s">
        <v>178</v>
      </c>
      <c r="P4" s="184">
        <v>2</v>
      </c>
      <c r="Q4" s="185" t="s">
        <v>164</v>
      </c>
      <c r="R4" s="185" t="s">
        <v>179</v>
      </c>
      <c r="S4" s="185"/>
      <c r="T4" s="184"/>
      <c r="U4" s="185"/>
    </row>
    <row r="5" spans="1:21" ht="76.5" hidden="1">
      <c r="A5" s="184">
        <v>3</v>
      </c>
      <c r="B5" s="185" t="s">
        <v>180</v>
      </c>
      <c r="C5" s="186" t="s">
        <v>181</v>
      </c>
      <c r="D5" s="184">
        <v>3</v>
      </c>
      <c r="E5" s="185" t="s">
        <v>182</v>
      </c>
      <c r="F5" s="185" t="s">
        <v>183</v>
      </c>
      <c r="G5" s="184">
        <v>3</v>
      </c>
      <c r="H5" s="185" t="s">
        <v>174</v>
      </c>
      <c r="I5" s="185" t="s">
        <v>184</v>
      </c>
      <c r="J5" s="184">
        <v>3</v>
      </c>
      <c r="K5" s="185" t="s">
        <v>176</v>
      </c>
      <c r="L5" s="185" t="s">
        <v>185</v>
      </c>
      <c r="M5" s="184">
        <v>3</v>
      </c>
      <c r="N5" s="185" t="s">
        <v>186</v>
      </c>
      <c r="O5" s="185" t="s">
        <v>187</v>
      </c>
      <c r="P5" s="184">
        <v>3</v>
      </c>
      <c r="Q5" s="185" t="s">
        <v>164</v>
      </c>
      <c r="R5" s="185" t="s">
        <v>188</v>
      </c>
      <c r="S5" s="185"/>
      <c r="T5" s="184"/>
      <c r="U5" s="185"/>
    </row>
    <row r="6" spans="1:21" ht="76.5" hidden="1">
      <c r="A6" s="184">
        <v>4</v>
      </c>
      <c r="B6" s="185" t="s">
        <v>180</v>
      </c>
      <c r="C6" s="186" t="s">
        <v>189</v>
      </c>
      <c r="D6" s="184">
        <v>4</v>
      </c>
      <c r="E6" s="185" t="s">
        <v>182</v>
      </c>
      <c r="F6" s="186" t="s">
        <v>190</v>
      </c>
      <c r="G6" s="184">
        <v>4</v>
      </c>
      <c r="H6" s="185" t="s">
        <v>191</v>
      </c>
      <c r="I6" s="185" t="s">
        <v>192</v>
      </c>
      <c r="J6" s="184">
        <v>4</v>
      </c>
      <c r="K6" s="185" t="s">
        <v>193</v>
      </c>
      <c r="L6" s="186" t="s">
        <v>194</v>
      </c>
      <c r="M6" s="184">
        <v>4</v>
      </c>
      <c r="N6" s="185" t="s">
        <v>186</v>
      </c>
      <c r="O6" s="185" t="s">
        <v>195</v>
      </c>
      <c r="P6" s="184">
        <v>4</v>
      </c>
      <c r="Q6" s="185" t="s">
        <v>164</v>
      </c>
      <c r="R6" s="185" t="s">
        <v>196</v>
      </c>
      <c r="S6" s="185"/>
      <c r="T6" s="184"/>
      <c r="U6" s="185"/>
    </row>
    <row r="7" spans="1:21" ht="76.5" hidden="1">
      <c r="A7" s="184">
        <v>5</v>
      </c>
      <c r="B7" s="185" t="s">
        <v>180</v>
      </c>
      <c r="C7" s="186" t="s">
        <v>197</v>
      </c>
      <c r="D7" s="184">
        <v>5</v>
      </c>
      <c r="E7" s="185" t="s">
        <v>182</v>
      </c>
      <c r="F7" s="186" t="s">
        <v>198</v>
      </c>
      <c r="G7" s="184">
        <v>5</v>
      </c>
      <c r="H7" s="185" t="s">
        <v>191</v>
      </c>
      <c r="I7" s="185" t="s">
        <v>199</v>
      </c>
      <c r="J7" s="184">
        <v>5</v>
      </c>
      <c r="K7" s="185" t="s">
        <v>193</v>
      </c>
      <c r="L7" s="186" t="s">
        <v>200</v>
      </c>
      <c r="M7" s="184">
        <v>5</v>
      </c>
      <c r="N7" s="185" t="s">
        <v>186</v>
      </c>
      <c r="O7" s="185" t="s">
        <v>201</v>
      </c>
      <c r="P7" s="184">
        <v>5</v>
      </c>
      <c r="Q7" s="185" t="s">
        <v>202</v>
      </c>
      <c r="R7" s="185" t="s">
        <v>203</v>
      </c>
      <c r="S7" s="186" t="s">
        <v>204</v>
      </c>
      <c r="T7" s="184"/>
      <c r="U7" s="185"/>
    </row>
    <row r="8" spans="1:21" ht="114.75" hidden="1">
      <c r="A8" s="184">
        <v>6</v>
      </c>
      <c r="B8" s="185" t="s">
        <v>205</v>
      </c>
      <c r="C8" s="186" t="s">
        <v>206</v>
      </c>
      <c r="D8" s="184">
        <v>6</v>
      </c>
      <c r="E8" s="185" t="s">
        <v>215</v>
      </c>
      <c r="F8" s="186" t="s">
        <v>216</v>
      </c>
      <c r="G8" s="184">
        <v>6</v>
      </c>
      <c r="H8" s="185" t="s">
        <v>217</v>
      </c>
      <c r="I8" s="186" t="s">
        <v>218</v>
      </c>
      <c r="J8" s="184">
        <v>6</v>
      </c>
      <c r="K8" s="185" t="s">
        <v>219</v>
      </c>
      <c r="L8" s="186" t="s">
        <v>221</v>
      </c>
      <c r="M8" s="184">
        <v>6</v>
      </c>
      <c r="N8" s="185" t="s">
        <v>222</v>
      </c>
      <c r="O8" s="185" t="s">
        <v>223</v>
      </c>
      <c r="P8" s="184">
        <v>6</v>
      </c>
      <c r="Q8" s="185" t="s">
        <v>202</v>
      </c>
      <c r="R8" s="185" t="s">
        <v>224</v>
      </c>
      <c r="S8" s="186" t="s">
        <v>225</v>
      </c>
      <c r="T8" s="184"/>
      <c r="U8" s="185"/>
    </row>
    <row r="9" spans="1:21" ht="102" hidden="1">
      <c r="A9" s="184">
        <v>7</v>
      </c>
      <c r="B9" s="185" t="s">
        <v>205</v>
      </c>
      <c r="C9" s="186" t="s">
        <v>226</v>
      </c>
      <c r="D9" s="184">
        <v>7</v>
      </c>
      <c r="E9" s="185" t="s">
        <v>215</v>
      </c>
      <c r="F9" s="186" t="s">
        <v>227</v>
      </c>
      <c r="G9" s="184">
        <v>7</v>
      </c>
      <c r="H9" s="185" t="s">
        <v>217</v>
      </c>
      <c r="I9" s="186" t="s">
        <v>228</v>
      </c>
      <c r="J9" s="184">
        <v>7</v>
      </c>
      <c r="K9" s="185" t="s">
        <v>219</v>
      </c>
      <c r="L9" s="185" t="s">
        <v>229</v>
      </c>
      <c r="M9" s="184">
        <v>7</v>
      </c>
      <c r="N9" s="185" t="s">
        <v>222</v>
      </c>
      <c r="O9" s="185" t="s">
        <v>230</v>
      </c>
      <c r="P9" s="184"/>
      <c r="Q9" s="185" t="s">
        <v>202</v>
      </c>
      <c r="R9" s="185"/>
      <c r="S9" s="186" t="s">
        <v>231</v>
      </c>
      <c r="T9" s="184"/>
      <c r="U9" s="185"/>
    </row>
    <row r="10" spans="1:21" ht="102" hidden="1">
      <c r="A10" s="184">
        <v>8</v>
      </c>
      <c r="B10" s="185" t="s">
        <v>205</v>
      </c>
      <c r="C10" s="186" t="s">
        <v>232</v>
      </c>
      <c r="D10" s="184">
        <v>8</v>
      </c>
      <c r="E10" s="185" t="s">
        <v>215</v>
      </c>
      <c r="F10" s="185" t="s">
        <v>233</v>
      </c>
      <c r="G10" s="184">
        <v>8</v>
      </c>
      <c r="H10" s="185" t="s">
        <v>234</v>
      </c>
      <c r="I10" s="185" t="s">
        <v>235</v>
      </c>
      <c r="J10" s="184">
        <v>8</v>
      </c>
      <c r="K10" s="185" t="s">
        <v>237</v>
      </c>
      <c r="L10" s="185" t="s">
        <v>238</v>
      </c>
      <c r="M10" s="184">
        <v>8</v>
      </c>
      <c r="N10" s="185" t="s">
        <v>222</v>
      </c>
      <c r="O10" s="186" t="s">
        <v>239</v>
      </c>
      <c r="P10" s="184">
        <v>7</v>
      </c>
      <c r="Q10" s="185" t="s">
        <v>202</v>
      </c>
      <c r="R10" s="185" t="s">
        <v>240</v>
      </c>
      <c r="S10" s="186" t="s">
        <v>241</v>
      </c>
      <c r="T10" s="184"/>
      <c r="U10" s="185"/>
    </row>
    <row r="11" spans="1:21" ht="127.5" hidden="1">
      <c r="A11" s="184">
        <v>9</v>
      </c>
      <c r="B11" s="185" t="s">
        <v>259</v>
      </c>
      <c r="C11" s="186" t="s">
        <v>242</v>
      </c>
      <c r="D11" s="184">
        <v>9</v>
      </c>
      <c r="E11" s="185" t="s">
        <v>243</v>
      </c>
      <c r="F11" s="185" t="s">
        <v>244</v>
      </c>
      <c r="G11" s="184">
        <v>9</v>
      </c>
      <c r="H11" s="185" t="s">
        <v>234</v>
      </c>
      <c r="I11" s="186" t="s">
        <v>245</v>
      </c>
      <c r="J11" s="184">
        <v>9</v>
      </c>
      <c r="K11" s="185" t="s">
        <v>237</v>
      </c>
      <c r="L11" s="185"/>
      <c r="M11" s="184">
        <v>9</v>
      </c>
      <c r="N11" s="185" t="s">
        <v>246</v>
      </c>
      <c r="O11" s="186" t="s">
        <v>247</v>
      </c>
      <c r="P11" s="184"/>
      <c r="Q11" s="185" t="s">
        <v>202</v>
      </c>
      <c r="R11" s="185"/>
      <c r="S11" s="186" t="s">
        <v>248</v>
      </c>
      <c r="T11" s="184"/>
      <c r="U11" s="185"/>
    </row>
    <row r="12" spans="1:21" ht="127.5" hidden="1">
      <c r="A12" s="184">
        <v>10</v>
      </c>
      <c r="B12" s="185" t="s">
        <v>259</v>
      </c>
      <c r="C12" s="186" t="s">
        <v>249</v>
      </c>
      <c r="D12" s="184">
        <v>10</v>
      </c>
      <c r="E12" s="185" t="s">
        <v>243</v>
      </c>
      <c r="F12" s="185" t="s">
        <v>250</v>
      </c>
      <c r="G12" s="184">
        <v>10</v>
      </c>
      <c r="H12" s="186" t="s">
        <v>245</v>
      </c>
      <c r="I12" s="186" t="s">
        <v>251</v>
      </c>
      <c r="J12" s="184"/>
      <c r="K12" s="185"/>
      <c r="L12" s="185"/>
      <c r="M12" s="184">
        <v>10</v>
      </c>
      <c r="N12" s="185" t="s">
        <v>246</v>
      </c>
      <c r="O12" s="185" t="s">
        <v>256</v>
      </c>
      <c r="P12" s="184">
        <v>8</v>
      </c>
      <c r="Q12" s="185" t="s">
        <v>202</v>
      </c>
      <c r="R12" s="185" t="s">
        <v>257</v>
      </c>
      <c r="S12" s="186" t="s">
        <v>258</v>
      </c>
      <c r="T12" s="184"/>
      <c r="U12" s="185"/>
    </row>
    <row r="13" spans="1:21" ht="127.5" hidden="1">
      <c r="A13" s="184">
        <v>11</v>
      </c>
      <c r="B13" s="185" t="s">
        <v>259</v>
      </c>
      <c r="C13" s="186" t="s">
        <v>260</v>
      </c>
      <c r="D13" s="184">
        <v>11</v>
      </c>
      <c r="E13" s="185" t="s">
        <v>243</v>
      </c>
      <c r="F13" s="185" t="s">
        <v>261</v>
      </c>
      <c r="G13" s="184">
        <v>11</v>
      </c>
      <c r="H13" s="186" t="s">
        <v>245</v>
      </c>
      <c r="I13" s="186" t="s">
        <v>262</v>
      </c>
      <c r="J13" s="184"/>
      <c r="K13" s="185"/>
      <c r="L13" s="185"/>
      <c r="M13" s="184">
        <v>11</v>
      </c>
      <c r="N13" s="185" t="s">
        <v>246</v>
      </c>
      <c r="O13" s="185" t="s">
        <v>263</v>
      </c>
      <c r="P13" s="184">
        <v>9</v>
      </c>
      <c r="Q13" s="185" t="s">
        <v>264</v>
      </c>
      <c r="R13" s="185" t="s">
        <v>203</v>
      </c>
      <c r="S13" s="186" t="s">
        <v>204</v>
      </c>
      <c r="T13" s="184"/>
      <c r="U13" s="185"/>
    </row>
    <row r="14" spans="1:21" ht="114.75" hidden="1">
      <c r="A14" s="184">
        <v>12</v>
      </c>
      <c r="B14" s="185" t="s">
        <v>265</v>
      </c>
      <c r="C14" s="185" t="s">
        <v>266</v>
      </c>
      <c r="D14" s="184">
        <v>12</v>
      </c>
      <c r="E14" s="185" t="s">
        <v>267</v>
      </c>
      <c r="F14" s="185"/>
      <c r="G14" s="184">
        <v>12</v>
      </c>
      <c r="H14" s="185" t="s">
        <v>268</v>
      </c>
      <c r="I14" s="185"/>
      <c r="J14" s="184"/>
      <c r="K14" s="185"/>
      <c r="L14" s="185"/>
      <c r="M14" s="184">
        <v>12</v>
      </c>
      <c r="N14" s="185" t="s">
        <v>269</v>
      </c>
      <c r="O14" s="185" t="s">
        <v>270</v>
      </c>
      <c r="P14" s="184">
        <v>10</v>
      </c>
      <c r="Q14" s="185" t="s">
        <v>264</v>
      </c>
      <c r="R14" s="185" t="s">
        <v>224</v>
      </c>
      <c r="S14" s="186" t="s">
        <v>225</v>
      </c>
      <c r="T14" s="184"/>
      <c r="U14" s="185"/>
    </row>
    <row r="15" spans="1:21" ht="114.75" hidden="1">
      <c r="A15" s="184">
        <v>13</v>
      </c>
      <c r="B15" s="185" t="s">
        <v>265</v>
      </c>
      <c r="C15" s="186" t="s">
        <v>271</v>
      </c>
      <c r="D15" s="184">
        <v>13</v>
      </c>
      <c r="E15" s="185" t="s">
        <v>267</v>
      </c>
      <c r="F15" s="186" t="s">
        <v>272</v>
      </c>
      <c r="G15" s="184">
        <v>13</v>
      </c>
      <c r="H15" s="185" t="s">
        <v>268</v>
      </c>
      <c r="I15" s="185"/>
      <c r="J15" s="184"/>
      <c r="K15" s="185"/>
      <c r="L15" s="185"/>
      <c r="M15" s="184">
        <v>13</v>
      </c>
      <c r="N15" s="185" t="s">
        <v>269</v>
      </c>
      <c r="O15" s="185" t="s">
        <v>273</v>
      </c>
      <c r="P15" s="184"/>
      <c r="Q15" s="185" t="s">
        <v>264</v>
      </c>
      <c r="R15" s="185"/>
      <c r="S15" s="186" t="s">
        <v>231</v>
      </c>
      <c r="T15" s="184"/>
      <c r="U15" s="185"/>
    </row>
    <row r="16" spans="1:21" ht="114.75" hidden="1">
      <c r="A16" s="184">
        <v>14</v>
      </c>
      <c r="B16" s="185" t="s">
        <v>265</v>
      </c>
      <c r="C16" s="185" t="s">
        <v>274</v>
      </c>
      <c r="D16" s="184">
        <v>14</v>
      </c>
      <c r="E16" s="185" t="s">
        <v>267</v>
      </c>
      <c r="F16" s="185"/>
      <c r="G16" s="184">
        <v>14</v>
      </c>
      <c r="H16" s="185" t="s">
        <v>275</v>
      </c>
      <c r="I16" s="185"/>
      <c r="J16" s="184"/>
      <c r="K16" s="185"/>
      <c r="L16" s="185"/>
      <c r="M16" s="184">
        <v>14</v>
      </c>
      <c r="N16" s="185" t="s">
        <v>269</v>
      </c>
      <c r="O16" s="186" t="s">
        <v>276</v>
      </c>
      <c r="P16" s="184">
        <v>11</v>
      </c>
      <c r="Q16" s="185" t="s">
        <v>264</v>
      </c>
      <c r="R16" s="185" t="s">
        <v>240</v>
      </c>
      <c r="S16" s="186" t="s">
        <v>241</v>
      </c>
      <c r="T16" s="184"/>
      <c r="U16" s="185"/>
    </row>
    <row r="17" spans="1:21" ht="102" hidden="1">
      <c r="A17" s="184">
        <v>15</v>
      </c>
      <c r="B17" s="185" t="s">
        <v>277</v>
      </c>
      <c r="C17" s="185" t="s">
        <v>278</v>
      </c>
      <c r="D17" s="184"/>
      <c r="E17" s="369" t="s">
        <v>279</v>
      </c>
      <c r="F17" s="369"/>
      <c r="G17" s="184">
        <v>15</v>
      </c>
      <c r="H17" s="185" t="s">
        <v>275</v>
      </c>
      <c r="I17" s="185"/>
      <c r="J17" s="184"/>
      <c r="K17" s="185"/>
      <c r="L17" s="185"/>
      <c r="M17" s="184">
        <v>15</v>
      </c>
      <c r="N17" s="185" t="s">
        <v>280</v>
      </c>
      <c r="O17" s="185" t="s">
        <v>281</v>
      </c>
      <c r="P17" s="184"/>
      <c r="Q17" s="185" t="s">
        <v>264</v>
      </c>
      <c r="R17" s="185"/>
      <c r="S17" s="186" t="s">
        <v>248</v>
      </c>
      <c r="T17" s="184"/>
      <c r="U17" s="185"/>
    </row>
    <row r="18" spans="1:21" ht="102" hidden="1">
      <c r="A18" s="184">
        <v>16</v>
      </c>
      <c r="B18" s="185" t="s">
        <v>277</v>
      </c>
      <c r="C18" s="185" t="s">
        <v>282</v>
      </c>
      <c r="D18" s="184">
        <v>1</v>
      </c>
      <c r="E18" s="185" t="s">
        <v>283</v>
      </c>
      <c r="F18" s="185"/>
      <c r="G18" s="184"/>
      <c r="H18" s="185"/>
      <c r="I18" s="185"/>
      <c r="J18" s="184"/>
      <c r="K18" s="185"/>
      <c r="L18" s="185"/>
      <c r="M18" s="184">
        <v>16</v>
      </c>
      <c r="N18" s="185" t="s">
        <v>280</v>
      </c>
      <c r="O18" s="185" t="s">
        <v>284</v>
      </c>
      <c r="P18" s="184">
        <v>12</v>
      </c>
      <c r="Q18" s="185" t="s">
        <v>264</v>
      </c>
      <c r="R18" s="185" t="s">
        <v>257</v>
      </c>
      <c r="S18" s="186" t="s">
        <v>258</v>
      </c>
      <c r="T18" s="184"/>
      <c r="U18" s="185"/>
    </row>
    <row r="19" spans="1:21" ht="102" hidden="1">
      <c r="A19" s="184">
        <v>17</v>
      </c>
      <c r="B19" s="185" t="s">
        <v>277</v>
      </c>
      <c r="C19" s="186" t="s">
        <v>285</v>
      </c>
      <c r="D19" s="184">
        <v>2</v>
      </c>
      <c r="E19" s="185" t="s">
        <v>286</v>
      </c>
      <c r="F19" s="185"/>
      <c r="G19" s="184"/>
      <c r="H19" s="185"/>
      <c r="I19" s="185"/>
      <c r="J19" s="184"/>
      <c r="K19" s="185"/>
      <c r="L19" s="185"/>
      <c r="M19" s="184">
        <v>17</v>
      </c>
      <c r="N19" s="185" t="s">
        <v>280</v>
      </c>
      <c r="O19" s="185" t="s">
        <v>287</v>
      </c>
      <c r="P19" s="184">
        <v>13</v>
      </c>
      <c r="Q19" s="185" t="s">
        <v>288</v>
      </c>
      <c r="R19" s="185" t="s">
        <v>203</v>
      </c>
      <c r="S19" s="186" t="s">
        <v>204</v>
      </c>
      <c r="T19" s="184"/>
      <c r="U19" s="185"/>
    </row>
    <row r="20" spans="1:21" ht="102" hidden="1">
      <c r="A20" s="184">
        <v>18</v>
      </c>
      <c r="B20" s="185" t="s">
        <v>289</v>
      </c>
      <c r="C20" s="185" t="s">
        <v>290</v>
      </c>
      <c r="D20" s="184">
        <v>3</v>
      </c>
      <c r="E20" s="185" t="s">
        <v>291</v>
      </c>
      <c r="F20" s="185"/>
      <c r="G20" s="184"/>
      <c r="H20" s="185"/>
      <c r="I20" s="185"/>
      <c r="J20" s="184"/>
      <c r="K20" s="185"/>
      <c r="L20" s="185"/>
      <c r="M20" s="184">
        <v>18</v>
      </c>
      <c r="N20" s="185" t="s">
        <v>292</v>
      </c>
      <c r="O20" s="185"/>
      <c r="P20" s="184">
        <v>14</v>
      </c>
      <c r="Q20" s="185" t="s">
        <v>288</v>
      </c>
      <c r="R20" s="185" t="s">
        <v>224</v>
      </c>
      <c r="S20" s="186" t="s">
        <v>225</v>
      </c>
      <c r="T20" s="184"/>
      <c r="U20" s="185"/>
    </row>
    <row r="21" spans="1:21" ht="102" hidden="1">
      <c r="A21" s="184">
        <v>19</v>
      </c>
      <c r="B21" s="185" t="s">
        <v>289</v>
      </c>
      <c r="C21" s="185" t="s">
        <v>293</v>
      </c>
      <c r="D21" s="184"/>
      <c r="E21" s="185"/>
      <c r="F21" s="185"/>
      <c r="G21" s="184"/>
      <c r="H21" s="185"/>
      <c r="I21" s="185"/>
      <c r="J21" s="184">
        <v>0</v>
      </c>
      <c r="K21" s="185"/>
      <c r="L21" s="185"/>
      <c r="M21" s="184">
        <v>19</v>
      </c>
      <c r="N21" s="185" t="s">
        <v>292</v>
      </c>
      <c r="O21" s="185"/>
      <c r="P21" s="184"/>
      <c r="Q21" s="185" t="s">
        <v>288</v>
      </c>
      <c r="R21" s="185"/>
      <c r="S21" s="186" t="s">
        <v>231</v>
      </c>
      <c r="T21" s="184"/>
      <c r="U21" s="185"/>
    </row>
    <row r="22" spans="1:21" ht="102" hidden="1">
      <c r="A22" s="184">
        <v>20</v>
      </c>
      <c r="B22" s="185" t="s">
        <v>289</v>
      </c>
      <c r="C22" s="186" t="s">
        <v>294</v>
      </c>
      <c r="D22" s="184"/>
      <c r="E22" s="185"/>
      <c r="F22" s="185"/>
      <c r="G22" s="184"/>
      <c r="H22" s="185"/>
      <c r="I22" s="185"/>
      <c r="J22" s="184">
        <v>0</v>
      </c>
      <c r="K22" s="185"/>
      <c r="L22" s="185"/>
      <c r="M22" s="184">
        <v>20</v>
      </c>
      <c r="N22" s="185" t="s">
        <v>292</v>
      </c>
      <c r="O22" s="185"/>
      <c r="P22" s="184">
        <v>15</v>
      </c>
      <c r="Q22" s="185" t="s">
        <v>288</v>
      </c>
      <c r="R22" s="185" t="s">
        <v>240</v>
      </c>
      <c r="S22" s="186" t="s">
        <v>241</v>
      </c>
      <c r="T22" s="184"/>
      <c r="U22" s="185"/>
    </row>
    <row r="23" spans="1:21" ht="89.25" hidden="1">
      <c r="A23" s="184">
        <v>21</v>
      </c>
      <c r="B23" s="185" t="s">
        <v>295</v>
      </c>
      <c r="C23" s="185"/>
      <c r="D23" s="184"/>
      <c r="E23" s="185"/>
      <c r="F23" s="185"/>
      <c r="G23" s="184"/>
      <c r="H23" s="185"/>
      <c r="I23" s="185"/>
      <c r="J23" s="184">
        <v>0</v>
      </c>
      <c r="K23" s="185"/>
      <c r="L23" s="185"/>
      <c r="M23" s="184"/>
      <c r="N23" s="185"/>
      <c r="O23" s="185"/>
      <c r="P23" s="184"/>
      <c r="Q23" s="185" t="s">
        <v>288</v>
      </c>
      <c r="R23" s="185"/>
      <c r="S23" s="186" t="s">
        <v>248</v>
      </c>
      <c r="T23" s="184"/>
      <c r="U23" s="185"/>
    </row>
    <row r="24" spans="1:21" ht="102" hidden="1">
      <c r="A24" s="184">
        <v>22</v>
      </c>
      <c r="B24" s="185" t="s">
        <v>295</v>
      </c>
      <c r="C24" s="185"/>
      <c r="D24" s="184"/>
      <c r="E24" s="185"/>
      <c r="F24" s="185"/>
      <c r="G24" s="184"/>
      <c r="H24" s="185"/>
      <c r="I24" s="185"/>
      <c r="J24" s="184">
        <v>0</v>
      </c>
      <c r="K24" s="185"/>
      <c r="L24" s="185"/>
      <c r="M24" s="184"/>
      <c r="N24" s="185"/>
      <c r="O24" s="185"/>
      <c r="P24" s="184">
        <v>16</v>
      </c>
      <c r="Q24" s="185" t="s">
        <v>288</v>
      </c>
      <c r="R24" s="185" t="s">
        <v>257</v>
      </c>
      <c r="S24" s="186" t="s">
        <v>258</v>
      </c>
      <c r="T24" s="184"/>
      <c r="U24" s="185"/>
    </row>
    <row r="25" spans="1:21" ht="63.75" hidden="1">
      <c r="A25" s="184">
        <v>23</v>
      </c>
      <c r="B25" s="185" t="s">
        <v>295</v>
      </c>
      <c r="C25" s="185"/>
      <c r="D25" s="184"/>
      <c r="E25" s="185"/>
      <c r="F25" s="185"/>
      <c r="G25" s="184"/>
      <c r="H25" s="185"/>
      <c r="I25" s="185"/>
      <c r="J25" s="184"/>
      <c r="K25" s="185"/>
      <c r="L25" s="185"/>
      <c r="M25" s="184"/>
      <c r="N25" s="185"/>
      <c r="O25" s="185"/>
      <c r="P25" s="184">
        <v>17</v>
      </c>
      <c r="Q25" s="185" t="s">
        <v>296</v>
      </c>
      <c r="R25" s="185" t="s">
        <v>203</v>
      </c>
      <c r="S25" s="186" t="s">
        <v>204</v>
      </c>
      <c r="T25" s="184"/>
      <c r="U25" s="185"/>
    </row>
    <row r="26" spans="1:21" ht="51" hidden="1">
      <c r="A26" s="184"/>
      <c r="B26" s="185"/>
      <c r="C26" s="185"/>
      <c r="D26" s="184"/>
      <c r="E26" s="185"/>
      <c r="F26" s="185"/>
      <c r="G26" s="184"/>
      <c r="H26" s="185"/>
      <c r="I26" s="185"/>
      <c r="J26" s="185"/>
      <c r="K26" s="185"/>
      <c r="L26" s="185"/>
      <c r="M26" s="185"/>
      <c r="N26" s="185"/>
      <c r="O26" s="185"/>
      <c r="P26" s="184">
        <v>18</v>
      </c>
      <c r="Q26" s="185" t="s">
        <v>296</v>
      </c>
      <c r="R26" s="185" t="s">
        <v>224</v>
      </c>
      <c r="S26" s="186" t="s">
        <v>225</v>
      </c>
      <c r="T26" s="184"/>
      <c r="U26" s="185"/>
    </row>
    <row r="27" spans="1:21" ht="51" hidden="1">
      <c r="A27" s="184"/>
      <c r="B27" s="185"/>
      <c r="C27" s="185"/>
      <c r="D27" s="184"/>
      <c r="E27" s="185"/>
      <c r="F27" s="185"/>
      <c r="G27" s="184"/>
      <c r="H27" s="185"/>
      <c r="I27" s="185"/>
      <c r="J27" s="185"/>
      <c r="K27" s="185"/>
      <c r="L27" s="185"/>
      <c r="M27" s="185"/>
      <c r="N27" s="185"/>
      <c r="O27" s="185"/>
      <c r="P27" s="184"/>
      <c r="Q27" s="185" t="s">
        <v>296</v>
      </c>
      <c r="R27" s="185"/>
      <c r="S27" s="186" t="s">
        <v>231</v>
      </c>
      <c r="T27" s="184"/>
      <c r="U27" s="185"/>
    </row>
    <row r="28" spans="1:21" ht="76.5" hidden="1">
      <c r="A28" s="184"/>
      <c r="B28" s="185"/>
      <c r="C28" s="185"/>
      <c r="D28" s="184"/>
      <c r="E28" s="185"/>
      <c r="F28" s="185"/>
      <c r="G28" s="184"/>
      <c r="H28" s="185"/>
      <c r="I28" s="185"/>
      <c r="J28" s="185"/>
      <c r="K28" s="185"/>
      <c r="L28" s="185"/>
      <c r="M28" s="185"/>
      <c r="N28" s="185"/>
      <c r="O28" s="185"/>
      <c r="P28" s="184">
        <v>19</v>
      </c>
      <c r="Q28" s="185" t="s">
        <v>296</v>
      </c>
      <c r="R28" s="185" t="s">
        <v>240</v>
      </c>
      <c r="S28" s="186" t="s">
        <v>241</v>
      </c>
      <c r="T28" s="184"/>
      <c r="U28" s="185"/>
    </row>
    <row r="29" spans="1:21" ht="89.25" hidden="1">
      <c r="A29" s="184"/>
      <c r="B29" s="185"/>
      <c r="C29" s="185"/>
      <c r="D29" s="184"/>
      <c r="E29" s="185"/>
      <c r="F29" s="185"/>
      <c r="G29" s="184"/>
      <c r="H29" s="185"/>
      <c r="I29" s="185"/>
      <c r="J29" s="185"/>
      <c r="K29" s="185"/>
      <c r="L29" s="185"/>
      <c r="M29" s="185"/>
      <c r="N29" s="185"/>
      <c r="O29" s="185"/>
      <c r="P29" s="184"/>
      <c r="Q29" s="185" t="s">
        <v>296</v>
      </c>
      <c r="R29" s="185"/>
      <c r="S29" s="186" t="s">
        <v>248</v>
      </c>
      <c r="T29" s="184"/>
      <c r="U29" s="185"/>
    </row>
    <row r="30" spans="1:21" ht="102" hidden="1">
      <c r="A30" s="184"/>
      <c r="B30" s="185"/>
      <c r="C30" s="185"/>
      <c r="D30" s="184"/>
      <c r="E30" s="185"/>
      <c r="F30" s="185"/>
      <c r="G30" s="184"/>
      <c r="H30" s="185"/>
      <c r="I30" s="185"/>
      <c r="J30" s="185"/>
      <c r="K30" s="185"/>
      <c r="L30" s="185"/>
      <c r="M30" s="185"/>
      <c r="N30" s="185"/>
      <c r="O30" s="185"/>
      <c r="P30" s="184">
        <v>20</v>
      </c>
      <c r="Q30" s="185" t="s">
        <v>296</v>
      </c>
      <c r="R30" s="185" t="s">
        <v>257</v>
      </c>
      <c r="S30" s="186" t="s">
        <v>258</v>
      </c>
      <c r="T30" s="184"/>
      <c r="U30" s="185"/>
    </row>
    <row r="31" spans="1:21" ht="12.75" hidden="1">
      <c r="A31" s="184"/>
      <c r="B31" s="185"/>
      <c r="C31" s="185"/>
      <c r="D31" s="184"/>
      <c r="E31" s="185"/>
      <c r="F31" s="185"/>
      <c r="G31" s="184"/>
      <c r="H31" s="185"/>
      <c r="I31" s="185"/>
      <c r="J31" s="185"/>
      <c r="K31" s="185"/>
      <c r="L31" s="185"/>
      <c r="M31" s="185"/>
      <c r="N31" s="185"/>
      <c r="O31" s="185"/>
      <c r="P31" s="185"/>
      <c r="Q31" s="185"/>
      <c r="R31" s="185"/>
      <c r="S31" s="185"/>
      <c r="T31" s="185"/>
      <c r="U31" s="185"/>
    </row>
    <row r="32" spans="1:21" ht="12.75">
      <c r="A32" s="184"/>
      <c r="B32" s="185"/>
      <c r="C32" s="185"/>
      <c r="D32" s="184"/>
      <c r="E32" s="185"/>
      <c r="F32" s="185"/>
      <c r="G32" s="184"/>
      <c r="H32" s="185"/>
      <c r="I32" s="185"/>
      <c r="J32" s="185"/>
      <c r="K32" s="185"/>
      <c r="L32" s="185"/>
      <c r="M32" s="185"/>
      <c r="N32" s="185"/>
      <c r="O32" s="185"/>
      <c r="P32" s="185"/>
      <c r="Q32" s="185"/>
      <c r="R32" s="185"/>
      <c r="S32" s="185"/>
      <c r="T32" s="185"/>
      <c r="U32" s="185"/>
    </row>
  </sheetData>
  <sheetProtection password="CA99" sheet="1" objects="1" scenarios="1" selectLockedCells="1"/>
  <mergeCells count="7">
    <mergeCell ref="N1:O1"/>
    <mergeCell ref="Q1:S1"/>
    <mergeCell ref="E17:F17"/>
    <mergeCell ref="B1:C1"/>
    <mergeCell ref="E1:F1"/>
    <mergeCell ref="H1:I1"/>
    <mergeCell ref="K1:L1"/>
  </mergeCells>
  <printOptions/>
  <pageMargins left="0.75" right="0.75" top="1" bottom="1" header="0.5" footer="0.5"/>
  <pageSetup fitToHeight="0" fitToWidth="2"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W64"/>
  <sheetViews>
    <sheetView zoomScale="75" zoomScaleNormal="75" workbookViewId="0" topLeftCell="A1">
      <selection activeCell="D6" sqref="D6"/>
    </sheetView>
  </sheetViews>
  <sheetFormatPr defaultColWidth="9.140625" defaultRowHeight="12.75"/>
  <cols>
    <col min="1" max="1" width="1.57421875" style="0" customWidth="1"/>
    <col min="2" max="2" width="3.00390625" style="0" bestFit="1" customWidth="1"/>
    <col min="3" max="3" width="17.8515625" style="0" customWidth="1"/>
    <col min="4" max="4" width="10.28125" style="0" customWidth="1"/>
    <col min="5" max="5" width="10.421875" style="0" customWidth="1"/>
    <col min="6" max="7" width="11.140625" style="0" customWidth="1"/>
    <col min="8" max="8" width="9.57421875" style="0" customWidth="1"/>
    <col min="9" max="9" width="11.7109375" style="0" customWidth="1"/>
    <col min="10" max="10" width="9.00390625" style="0" customWidth="1"/>
    <col min="11" max="11" width="11.57421875" style="0" customWidth="1"/>
    <col min="12" max="12" width="10.140625" style="0" customWidth="1"/>
    <col min="13" max="13" width="10.7109375" style="0" customWidth="1"/>
    <col min="14" max="14" width="7.8515625" style="0" customWidth="1"/>
    <col min="15" max="15" width="7.421875" style="0" customWidth="1"/>
    <col min="16" max="17" width="1.8515625" style="0" customWidth="1"/>
    <col min="18" max="18" width="1.57421875" style="0" customWidth="1"/>
    <col min="19" max="20" width="9.140625" style="0" hidden="1" customWidth="1"/>
    <col min="21" max="21" width="10.00390625" style="0" hidden="1" customWidth="1"/>
    <col min="22" max="23" width="9.140625" style="0" hidden="1" customWidth="1"/>
    <col min="24" max="24" width="0" style="0" hidden="1" customWidth="1"/>
  </cols>
  <sheetData>
    <row r="1" spans="2:17" ht="13.5" thickTop="1">
      <c r="B1" s="46"/>
      <c r="C1" s="14"/>
      <c r="D1" s="14"/>
      <c r="E1" s="14"/>
      <c r="F1" s="14"/>
      <c r="G1" s="14"/>
      <c r="H1" s="14"/>
      <c r="I1" s="14"/>
      <c r="J1" s="14"/>
      <c r="K1" s="14"/>
      <c r="L1" s="14"/>
      <c r="M1" s="14"/>
      <c r="N1" s="14"/>
      <c r="O1" s="14"/>
      <c r="P1" s="14"/>
      <c r="Q1" s="15"/>
    </row>
    <row r="2" spans="2:17" ht="27.75" customHeight="1">
      <c r="B2" s="35"/>
      <c r="C2" s="272" t="s">
        <v>212</v>
      </c>
      <c r="D2" s="272"/>
      <c r="E2" s="272"/>
      <c r="F2" s="272"/>
      <c r="G2" s="272"/>
      <c r="H2" s="272"/>
      <c r="I2" s="272"/>
      <c r="J2" s="272"/>
      <c r="K2" s="272"/>
      <c r="L2" s="272"/>
      <c r="M2" s="272"/>
      <c r="N2" s="20"/>
      <c r="O2" s="20"/>
      <c r="P2" s="20"/>
      <c r="Q2" s="21"/>
    </row>
    <row r="3" spans="2:17" ht="72.75" customHeight="1">
      <c r="B3" s="35"/>
      <c r="C3" s="255" t="s">
        <v>214</v>
      </c>
      <c r="D3" s="255"/>
      <c r="E3" s="255"/>
      <c r="F3" s="255"/>
      <c r="G3" s="255"/>
      <c r="H3" s="255"/>
      <c r="I3" s="255"/>
      <c r="J3" s="255"/>
      <c r="K3" s="255"/>
      <c r="L3" s="255"/>
      <c r="M3" s="255"/>
      <c r="N3" s="255"/>
      <c r="O3" s="255"/>
      <c r="P3" s="20"/>
      <c r="Q3" s="21"/>
    </row>
    <row r="4" spans="2:22" ht="13.5" thickBot="1">
      <c r="B4" s="273" t="s">
        <v>593</v>
      </c>
      <c r="C4" s="274"/>
      <c r="D4" s="74" t="s">
        <v>324</v>
      </c>
      <c r="E4" s="207"/>
      <c r="F4" s="207"/>
      <c r="G4" s="207"/>
      <c r="H4" s="207"/>
      <c r="I4" s="207"/>
      <c r="J4" s="207"/>
      <c r="K4" s="207"/>
      <c r="L4" s="207"/>
      <c r="M4" s="208" t="s">
        <v>326</v>
      </c>
      <c r="N4" s="226" t="s">
        <v>594</v>
      </c>
      <c r="O4" s="20"/>
      <c r="P4" s="20"/>
      <c r="Q4" s="21"/>
      <c r="S4" s="275" t="s">
        <v>595</v>
      </c>
      <c r="T4" s="275"/>
      <c r="U4" s="275" t="s">
        <v>596</v>
      </c>
      <c r="V4" s="275"/>
    </row>
    <row r="5" spans="2:22" ht="13.5" thickBot="1">
      <c r="B5" s="276">
        <v>1</v>
      </c>
      <c r="C5" s="277" t="s">
        <v>597</v>
      </c>
      <c r="D5" s="278" t="s">
        <v>493</v>
      </c>
      <c r="E5" s="278"/>
      <c r="F5" s="279" t="s">
        <v>494</v>
      </c>
      <c r="G5" s="279"/>
      <c r="H5" s="279"/>
      <c r="I5" s="279"/>
      <c r="J5" s="280" t="s">
        <v>495</v>
      </c>
      <c r="K5" s="280"/>
      <c r="L5" s="280"/>
      <c r="M5" s="280"/>
      <c r="N5" s="209"/>
      <c r="O5" s="20"/>
      <c r="P5" s="20"/>
      <c r="Q5" s="21"/>
      <c r="S5" s="91"/>
      <c r="T5" s="91"/>
      <c r="U5" s="91"/>
      <c r="V5" s="91"/>
    </row>
    <row r="6" spans="2:23" ht="36.75" customHeight="1" thickBot="1">
      <c r="B6" s="276"/>
      <c r="C6" s="277"/>
      <c r="D6" s="210"/>
      <c r="E6" s="210"/>
      <c r="F6" s="210"/>
      <c r="G6" s="210"/>
      <c r="H6" s="210"/>
      <c r="I6" s="210"/>
      <c r="J6" s="210"/>
      <c r="K6" s="210"/>
      <c r="L6" s="210"/>
      <c r="M6" s="210"/>
      <c r="N6" s="224">
        <f>IF(T6="",0,ROUND((T6/10*9),0))</f>
        <v>0</v>
      </c>
      <c r="O6" s="225"/>
      <c r="P6" s="20"/>
      <c r="Q6" s="21"/>
      <c r="S6">
        <f>IF(D6="X",1,IF(E6="X",2,IF(F6="X",3,IF(G6="X",4,IF(H6="X",5,IF(I6="X",6,IF(J6="X",7,IF(K6="X",8,""))))))))</f>
      </c>
      <c r="T6">
        <f>IF(L6="X",9,IF(M6="X",10,S6))</f>
      </c>
      <c r="U6" s="91">
        <f>IF(N6="?","?",IF(N6=10,(-4),(5-N6)))</f>
        <v>5</v>
      </c>
      <c r="V6" s="211" t="str">
        <f>IF(N6="?","?",IF(U6&gt;0,"A","P"))</f>
        <v>A</v>
      </c>
      <c r="W6" s="205">
        <f>IF(U6&gt;0,U6,-U6)</f>
        <v>5</v>
      </c>
    </row>
    <row r="7" spans="2:17" ht="13.5" thickBot="1">
      <c r="B7" s="212"/>
      <c r="C7" s="20"/>
      <c r="D7" s="220">
        <v>1</v>
      </c>
      <c r="E7" s="220">
        <v>2</v>
      </c>
      <c r="F7" s="220">
        <v>3</v>
      </c>
      <c r="G7" s="220">
        <v>4</v>
      </c>
      <c r="H7" s="220">
        <v>5</v>
      </c>
      <c r="I7" s="220">
        <v>6</v>
      </c>
      <c r="J7" s="220">
        <v>7</v>
      </c>
      <c r="K7" s="220">
        <v>8</v>
      </c>
      <c r="L7" s="220">
        <v>9</v>
      </c>
      <c r="M7" s="220">
        <v>10</v>
      </c>
      <c r="N7" s="225"/>
      <c r="O7" s="225"/>
      <c r="P7" s="20"/>
      <c r="Q7" s="21"/>
    </row>
    <row r="8" spans="2:17" ht="12.75">
      <c r="B8" s="227"/>
      <c r="C8" s="228"/>
      <c r="D8" s="229"/>
      <c r="E8" s="229"/>
      <c r="F8" s="229"/>
      <c r="G8" s="229"/>
      <c r="H8" s="229"/>
      <c r="I8" s="229"/>
      <c r="J8" s="229"/>
      <c r="K8" s="229"/>
      <c r="L8" s="229"/>
      <c r="M8" s="229"/>
      <c r="N8" s="230"/>
      <c r="O8" s="230"/>
      <c r="P8" s="20"/>
      <c r="Q8" s="21"/>
    </row>
    <row r="9" spans="2:17" ht="13.5" thickBot="1">
      <c r="B9" s="276">
        <v>2</v>
      </c>
      <c r="C9" s="277" t="s">
        <v>598</v>
      </c>
      <c r="D9" s="213" t="s">
        <v>599</v>
      </c>
      <c r="E9" s="213" t="s">
        <v>600</v>
      </c>
      <c r="F9" s="213" t="s">
        <v>601</v>
      </c>
      <c r="G9" s="213" t="s">
        <v>602</v>
      </c>
      <c r="H9" s="213" t="s">
        <v>603</v>
      </c>
      <c r="I9" s="213" t="s">
        <v>604</v>
      </c>
      <c r="J9" s="213" t="s">
        <v>605</v>
      </c>
      <c r="K9" s="213" t="s">
        <v>606</v>
      </c>
      <c r="L9" s="213" t="s">
        <v>607</v>
      </c>
      <c r="M9" s="213" t="s">
        <v>608</v>
      </c>
      <c r="N9" s="225"/>
      <c r="O9" s="225"/>
      <c r="P9" s="20"/>
      <c r="Q9" s="21"/>
    </row>
    <row r="10" spans="2:21" ht="39.75" customHeight="1" thickBot="1">
      <c r="B10" s="276"/>
      <c r="C10" s="277"/>
      <c r="D10" s="210"/>
      <c r="E10" s="210"/>
      <c r="F10" s="210"/>
      <c r="G10" s="210"/>
      <c r="H10" s="210"/>
      <c r="I10" s="210"/>
      <c r="J10" s="210"/>
      <c r="K10" s="210"/>
      <c r="L10" s="210"/>
      <c r="M10" s="210"/>
      <c r="N10" s="224">
        <f>IF(T10="",0,T10)</f>
        <v>0</v>
      </c>
      <c r="O10" s="225"/>
      <c r="P10" s="20"/>
      <c r="Q10" s="21"/>
      <c r="S10">
        <f>IF(D10="X",1,IF(E10="X",2,IF(F10="X",3,IF(G10="X",4,IF(H10="X",5,IF(I10="X",6,IF(J10="X",7,IF(K10="X",8,""))))))))</f>
      </c>
      <c r="T10">
        <f>IF(L10="X",9,IF(M10="X",10,S10))</f>
      </c>
      <c r="U10" s="91">
        <f>N10</f>
        <v>0</v>
      </c>
    </row>
    <row r="11" spans="2:17" ht="13.5" thickBot="1">
      <c r="B11" s="212"/>
      <c r="C11" s="20"/>
      <c r="D11" s="220">
        <v>1</v>
      </c>
      <c r="E11" s="220">
        <v>2</v>
      </c>
      <c r="F11" s="220">
        <v>3</v>
      </c>
      <c r="G11" s="220">
        <v>4</v>
      </c>
      <c r="H11" s="220">
        <v>5</v>
      </c>
      <c r="I11" s="220">
        <v>6</v>
      </c>
      <c r="J11" s="220">
        <v>7</v>
      </c>
      <c r="K11" s="220">
        <v>8</v>
      </c>
      <c r="L11" s="220">
        <v>9</v>
      </c>
      <c r="M11" s="220">
        <v>10</v>
      </c>
      <c r="N11" s="225"/>
      <c r="O11" s="225"/>
      <c r="P11" s="20"/>
      <c r="Q11" s="21"/>
    </row>
    <row r="12" spans="2:17" ht="12.75">
      <c r="B12" s="227"/>
      <c r="C12" s="228"/>
      <c r="D12" s="229"/>
      <c r="E12" s="229"/>
      <c r="F12" s="229"/>
      <c r="G12" s="229"/>
      <c r="H12" s="229"/>
      <c r="I12" s="229"/>
      <c r="J12" s="229"/>
      <c r="K12" s="229"/>
      <c r="L12" s="229"/>
      <c r="M12" s="229"/>
      <c r="N12" s="230"/>
      <c r="O12" s="230"/>
      <c r="P12" s="228"/>
      <c r="Q12" s="231"/>
    </row>
    <row r="13" spans="2:17" ht="13.5" thickBot="1">
      <c r="B13" s="276">
        <v>3</v>
      </c>
      <c r="C13" s="277" t="s">
        <v>609</v>
      </c>
      <c r="D13" s="213" t="s">
        <v>610</v>
      </c>
      <c r="E13" s="213" t="s">
        <v>611</v>
      </c>
      <c r="F13" s="213" t="s">
        <v>612</v>
      </c>
      <c r="G13" s="213" t="s">
        <v>613</v>
      </c>
      <c r="H13" s="213" t="s">
        <v>614</v>
      </c>
      <c r="I13" s="213" t="s">
        <v>615</v>
      </c>
      <c r="J13" s="213" t="s">
        <v>616</v>
      </c>
      <c r="K13" s="213" t="s">
        <v>617</v>
      </c>
      <c r="L13" s="213" t="s">
        <v>618</v>
      </c>
      <c r="M13" s="213" t="s">
        <v>619</v>
      </c>
      <c r="N13" s="225"/>
      <c r="O13" s="225"/>
      <c r="P13" s="20"/>
      <c r="Q13" s="21"/>
    </row>
    <row r="14" spans="2:21" ht="63" customHeight="1" thickBot="1">
      <c r="B14" s="276"/>
      <c r="C14" s="277"/>
      <c r="D14" s="210"/>
      <c r="E14" s="210"/>
      <c r="F14" s="210"/>
      <c r="G14" s="210"/>
      <c r="H14" s="210"/>
      <c r="I14" s="210"/>
      <c r="J14" s="210"/>
      <c r="K14" s="210"/>
      <c r="L14" s="210"/>
      <c r="M14" s="210"/>
      <c r="N14" s="224">
        <f>IF(T14="",0,T14)</f>
        <v>0</v>
      </c>
      <c r="O14" s="225"/>
      <c r="P14" s="20"/>
      <c r="Q14" s="21"/>
      <c r="S14">
        <f>IF(D14="X",1,IF(E14="X",2,IF(F14="X",3,IF(G14="X",4,IF(H14="X",5,IF(I14="X",6,IF(J14="X",7,IF(K14="X",8,""))))))))</f>
      </c>
      <c r="T14">
        <f>IF(L14="X",9,IF(M14="X",10,S14))</f>
      </c>
      <c r="U14" s="91">
        <f>N14</f>
        <v>0</v>
      </c>
    </row>
    <row r="15" spans="2:17" ht="13.5" thickBot="1">
      <c r="B15" s="212"/>
      <c r="C15" s="20"/>
      <c r="D15" s="220">
        <v>1</v>
      </c>
      <c r="E15" s="220">
        <v>2</v>
      </c>
      <c r="F15" s="220">
        <v>3</v>
      </c>
      <c r="G15" s="220">
        <v>4</v>
      </c>
      <c r="H15" s="220">
        <v>5</v>
      </c>
      <c r="I15" s="220">
        <v>6</v>
      </c>
      <c r="J15" s="220">
        <v>7</v>
      </c>
      <c r="K15" s="220">
        <v>8</v>
      </c>
      <c r="L15" s="220">
        <v>9</v>
      </c>
      <c r="M15" s="220">
        <v>10</v>
      </c>
      <c r="N15" s="225"/>
      <c r="O15" s="225"/>
      <c r="P15" s="20"/>
      <c r="Q15" s="21"/>
    </row>
    <row r="16" spans="2:17" ht="12.75">
      <c r="B16" s="227"/>
      <c r="C16" s="228"/>
      <c r="D16" s="229"/>
      <c r="E16" s="229"/>
      <c r="F16" s="229"/>
      <c r="G16" s="229"/>
      <c r="H16" s="229"/>
      <c r="I16" s="229"/>
      <c r="J16" s="229"/>
      <c r="K16" s="229"/>
      <c r="L16" s="229"/>
      <c r="M16" s="229"/>
      <c r="N16" s="230"/>
      <c r="O16" s="230"/>
      <c r="P16" s="20"/>
      <c r="Q16" s="21"/>
    </row>
    <row r="17" spans="2:17" ht="13.5" thickBot="1">
      <c r="B17" s="276">
        <v>4</v>
      </c>
      <c r="C17" s="277" t="s">
        <v>620</v>
      </c>
      <c r="D17" s="213" t="s">
        <v>610</v>
      </c>
      <c r="E17" s="213" t="s">
        <v>611</v>
      </c>
      <c r="F17" s="213" t="s">
        <v>612</v>
      </c>
      <c r="G17" s="213" t="s">
        <v>613</v>
      </c>
      <c r="H17" s="213" t="s">
        <v>614</v>
      </c>
      <c r="I17" s="213" t="s">
        <v>615</v>
      </c>
      <c r="J17" s="213" t="s">
        <v>616</v>
      </c>
      <c r="K17" s="213" t="s">
        <v>617</v>
      </c>
      <c r="L17" s="213" t="s">
        <v>618</v>
      </c>
      <c r="M17" s="213" t="s">
        <v>619</v>
      </c>
      <c r="N17" s="225"/>
      <c r="O17" s="225"/>
      <c r="P17" s="20"/>
      <c r="Q17" s="21"/>
    </row>
    <row r="18" spans="2:22" ht="38.25" customHeight="1" thickBot="1">
      <c r="B18" s="276"/>
      <c r="C18" s="277"/>
      <c r="D18" s="210"/>
      <c r="E18" s="210"/>
      <c r="F18" s="210"/>
      <c r="G18" s="210"/>
      <c r="H18" s="210"/>
      <c r="I18" s="210"/>
      <c r="J18" s="210"/>
      <c r="K18" s="210"/>
      <c r="L18" s="210"/>
      <c r="M18" s="210"/>
      <c r="N18" s="224">
        <f>IF(T18="",0,T18)</f>
        <v>0</v>
      </c>
      <c r="O18" s="225">
        <f>ROUND((0.5*N10/10+0.3*N14/10+0.2*N18/10)*24,0)-1</f>
        <v>-1</v>
      </c>
      <c r="P18" s="20"/>
      <c r="Q18" s="21"/>
      <c r="S18">
        <f>IF(D18="X",1,IF(E18="X",2,IF(F18="X",3,IF(G18="X",4,IF(H18="X",5,IF(I18="X",6,IF(J18="X",7,IF(K18="X",8,""))))))))</f>
      </c>
      <c r="T18">
        <f>IF(L18="X",9,IF(M18="X",10,S18))</f>
      </c>
      <c r="U18" s="91">
        <f>IF(U10="?","?",IF(U14="?","?",(0.8*U10+0.2*((U14+N18)/2))))</f>
        <v>0</v>
      </c>
      <c r="V18" s="91" t="str">
        <f>IF(U18&lt;=1,"A",IF(U18&lt;=2,"B",IF(U18&lt;=3,"C",IF(U18&lt;=4.5,"D",IF(U18&lt;=6.5,"E",IF(U18&lt;=8,"F",IF(U18&lt;=9.5,"G",IF(U18&lt;=10,"H","?"))))))))</f>
        <v>A</v>
      </c>
    </row>
    <row r="19" spans="2:17" ht="13.5" thickBot="1">
      <c r="B19" s="212"/>
      <c r="C19" s="20"/>
      <c r="D19" s="220">
        <v>1</v>
      </c>
      <c r="E19" s="220">
        <v>2</v>
      </c>
      <c r="F19" s="220">
        <v>3</v>
      </c>
      <c r="G19" s="220">
        <v>4</v>
      </c>
      <c r="H19" s="220">
        <v>5</v>
      </c>
      <c r="I19" s="220">
        <v>6</v>
      </c>
      <c r="J19" s="220">
        <v>7</v>
      </c>
      <c r="K19" s="220">
        <v>8</v>
      </c>
      <c r="L19" s="220">
        <v>9</v>
      </c>
      <c r="M19" s="220">
        <v>10</v>
      </c>
      <c r="N19" s="225"/>
      <c r="O19" s="225"/>
      <c r="P19" s="20"/>
      <c r="Q19" s="21"/>
    </row>
    <row r="20" spans="2:17" ht="12.75">
      <c r="B20" s="227"/>
      <c r="C20" s="228"/>
      <c r="D20" s="229"/>
      <c r="E20" s="229"/>
      <c r="F20" s="229"/>
      <c r="G20" s="229"/>
      <c r="H20" s="229"/>
      <c r="I20" s="229"/>
      <c r="J20" s="229"/>
      <c r="K20" s="229"/>
      <c r="L20" s="229"/>
      <c r="M20" s="229"/>
      <c r="N20" s="230"/>
      <c r="O20" s="230"/>
      <c r="P20" s="20"/>
      <c r="Q20" s="21"/>
    </row>
    <row r="21" spans="2:17" ht="13.5" thickBot="1">
      <c r="B21" s="276">
        <v>5</v>
      </c>
      <c r="C21" s="277" t="s">
        <v>621</v>
      </c>
      <c r="D21" s="207" t="s">
        <v>622</v>
      </c>
      <c r="E21" s="207"/>
      <c r="F21" s="207"/>
      <c r="G21" s="207"/>
      <c r="H21" s="207"/>
      <c r="I21" s="207"/>
      <c r="J21" s="207"/>
      <c r="K21" s="207"/>
      <c r="L21" s="207"/>
      <c r="M21" s="214" t="s">
        <v>623</v>
      </c>
      <c r="N21" s="225"/>
      <c r="O21" s="225"/>
      <c r="P21" s="20"/>
      <c r="Q21" s="21"/>
    </row>
    <row r="22" spans="2:21" ht="38.25" customHeight="1" thickBot="1">
      <c r="B22" s="276"/>
      <c r="C22" s="277"/>
      <c r="D22" s="210"/>
      <c r="E22" s="210"/>
      <c r="F22" s="210"/>
      <c r="G22" s="210"/>
      <c r="H22" s="210"/>
      <c r="I22" s="210"/>
      <c r="J22" s="210"/>
      <c r="K22" s="210"/>
      <c r="L22" s="210"/>
      <c r="M22" s="210"/>
      <c r="N22" s="224">
        <f>IF(T22="",0,T22)</f>
        <v>0</v>
      </c>
      <c r="O22" s="225"/>
      <c r="P22" s="20"/>
      <c r="Q22" s="21"/>
      <c r="S22">
        <f>IF(D22="X",1,IF(E22="X",2,IF(F22="X",3,IF(G22="X",4,IF(H22="X",5,IF(I22="X",6,IF(J22="X",7,IF(K22="X",8,""))))))))</f>
      </c>
      <c r="T22">
        <f>IF(L22="X",9,IF(M22="X",10,S22))</f>
      </c>
      <c r="U22" s="91">
        <f>IF(N22="?","?",IF(N22&lt;=3,(1.15^-1),IF(N22&gt;=8,(1.15^1),1)))</f>
        <v>0.8695652173913044</v>
      </c>
    </row>
    <row r="23" spans="2:17" ht="13.5" thickBot="1">
      <c r="B23" s="35"/>
      <c r="C23" s="20"/>
      <c r="D23" s="220">
        <v>1</v>
      </c>
      <c r="E23" s="220">
        <v>2</v>
      </c>
      <c r="F23" s="220">
        <v>3</v>
      </c>
      <c r="G23" s="220">
        <v>4</v>
      </c>
      <c r="H23" s="220">
        <v>5</v>
      </c>
      <c r="I23" s="220">
        <v>6</v>
      </c>
      <c r="J23" s="220">
        <v>7</v>
      </c>
      <c r="K23" s="220">
        <v>8</v>
      </c>
      <c r="L23" s="220">
        <v>9</v>
      </c>
      <c r="M23" s="220">
        <v>10</v>
      </c>
      <c r="N23" s="225"/>
      <c r="O23" s="225"/>
      <c r="P23" s="20"/>
      <c r="Q23" s="21"/>
    </row>
    <row r="24" spans="2:17" ht="12.75">
      <c r="B24" s="232"/>
      <c r="C24" s="228"/>
      <c r="D24" s="229"/>
      <c r="E24" s="229"/>
      <c r="F24" s="229"/>
      <c r="G24" s="229"/>
      <c r="H24" s="229"/>
      <c r="I24" s="229"/>
      <c r="J24" s="229"/>
      <c r="K24" s="229"/>
      <c r="L24" s="229"/>
      <c r="M24" s="229"/>
      <c r="N24" s="230"/>
      <c r="O24" s="230"/>
      <c r="P24" s="20"/>
      <c r="Q24" s="21"/>
    </row>
    <row r="25" spans="2:17" ht="13.5" thickBot="1">
      <c r="B25" s="276">
        <v>6</v>
      </c>
      <c r="C25" s="277" t="s">
        <v>624</v>
      </c>
      <c r="D25" s="213" t="s">
        <v>625</v>
      </c>
      <c r="E25" s="213" t="s">
        <v>626</v>
      </c>
      <c r="F25" s="252" t="s">
        <v>627</v>
      </c>
      <c r="G25" s="252"/>
      <c r="H25" s="252" t="s">
        <v>628</v>
      </c>
      <c r="I25" s="252"/>
      <c r="J25" s="252" t="s">
        <v>629</v>
      </c>
      <c r="K25" s="252"/>
      <c r="L25" s="252" t="s">
        <v>255</v>
      </c>
      <c r="M25" s="252"/>
      <c r="N25" s="225"/>
      <c r="O25" s="225"/>
      <c r="P25" s="20"/>
      <c r="Q25" s="21"/>
    </row>
    <row r="26" spans="2:23" ht="38.25" customHeight="1" thickBot="1">
      <c r="B26" s="276"/>
      <c r="C26" s="277"/>
      <c r="D26" s="210"/>
      <c r="E26" s="210"/>
      <c r="F26" s="210"/>
      <c r="G26" s="210"/>
      <c r="H26" s="210"/>
      <c r="I26" s="210"/>
      <c r="J26" s="210"/>
      <c r="K26" s="210"/>
      <c r="L26" s="210"/>
      <c r="M26" s="210"/>
      <c r="N26" s="224">
        <f>IF(T26="",0,T26)</f>
        <v>0</v>
      </c>
      <c r="O26" s="225"/>
      <c r="P26" s="20"/>
      <c r="Q26" s="21"/>
      <c r="S26">
        <f>IF(D26="X",1,IF(E26="X",2,IF(F26="X",3,IF(G26="X",4,IF(H26="X",5,IF(I26="X",6,IF(J26="X",7,IF(K26="X",8,""))))))))</f>
      </c>
      <c r="T26">
        <f>IF(L26="X",9,IF(M26="X",10,S26))</f>
      </c>
      <c r="U26" s="91">
        <f>N26</f>
        <v>0</v>
      </c>
      <c r="V26" s="91">
        <f>IF(U26="?","?",IF(U18="?","?",IF(U22="?","?",U26*U18)))</f>
        <v>0</v>
      </c>
      <c r="W26" s="91">
        <f>IF(V26="?","?",EXP(LN(38)+(V26/100)*(LN(1400)-LN(38)))*U22)</f>
        <v>33.04347826086956</v>
      </c>
    </row>
    <row r="27" spans="2:22" ht="13.5" thickBot="1">
      <c r="B27" s="35"/>
      <c r="C27" s="20"/>
      <c r="D27" s="220">
        <v>1</v>
      </c>
      <c r="E27" s="220">
        <v>2</v>
      </c>
      <c r="F27" s="220">
        <v>3</v>
      </c>
      <c r="G27" s="220">
        <v>4</v>
      </c>
      <c r="H27" s="220">
        <v>5</v>
      </c>
      <c r="I27" s="220">
        <v>6</v>
      </c>
      <c r="J27" s="220">
        <v>7</v>
      </c>
      <c r="K27" s="220">
        <v>8</v>
      </c>
      <c r="L27" s="220">
        <v>9</v>
      </c>
      <c r="M27" s="220">
        <v>10</v>
      </c>
      <c r="N27" s="225"/>
      <c r="O27" s="225"/>
      <c r="P27" s="20"/>
      <c r="Q27" s="21"/>
      <c r="V27" s="91" t="str">
        <f>IF(U26&lt;=2,"0",IF(U26&lt;=4,"I",IF(U26&lt;=6,"II",IF(U26&lt;=8,"III",IF(U26&lt;=10,"IV","?")))))</f>
        <v>0</v>
      </c>
    </row>
    <row r="28" spans="2:17" ht="12.75">
      <c r="B28" s="35"/>
      <c r="C28" s="20"/>
      <c r="D28" s="20"/>
      <c r="E28" s="20"/>
      <c r="F28" s="20"/>
      <c r="G28" s="20"/>
      <c r="H28" s="20"/>
      <c r="I28" s="20"/>
      <c r="J28" s="20"/>
      <c r="K28" s="20"/>
      <c r="L28" s="20"/>
      <c r="M28" s="20"/>
      <c r="N28" s="225"/>
      <c r="O28" s="225"/>
      <c r="P28" s="20"/>
      <c r="Q28" s="21"/>
    </row>
    <row r="29" spans="2:17" ht="39" thickBot="1">
      <c r="B29" s="276">
        <v>7</v>
      </c>
      <c r="C29" s="277" t="s">
        <v>630</v>
      </c>
      <c r="D29" s="215" t="s">
        <v>631</v>
      </c>
      <c r="E29" s="215" t="s">
        <v>632</v>
      </c>
      <c r="F29" s="215" t="s">
        <v>633</v>
      </c>
      <c r="G29" s="215" t="s">
        <v>634</v>
      </c>
      <c r="H29" s="215" t="s">
        <v>635</v>
      </c>
      <c r="I29" s="215" t="s">
        <v>636</v>
      </c>
      <c r="J29" s="253" t="s">
        <v>637</v>
      </c>
      <c r="K29" s="253"/>
      <c r="L29" s="253" t="s">
        <v>638</v>
      </c>
      <c r="M29" s="253"/>
      <c r="N29" s="225"/>
      <c r="O29" s="225"/>
      <c r="P29" s="20"/>
      <c r="Q29" s="21"/>
    </row>
    <row r="30" spans="2:21" ht="38.25" customHeight="1" thickBot="1">
      <c r="B30" s="276"/>
      <c r="C30" s="277"/>
      <c r="D30" s="210"/>
      <c r="E30" s="210"/>
      <c r="F30" s="210"/>
      <c r="G30" s="210"/>
      <c r="H30" s="210"/>
      <c r="I30" s="210"/>
      <c r="J30" s="210"/>
      <c r="K30" s="210"/>
      <c r="L30" s="210"/>
      <c r="M30" s="210"/>
      <c r="N30" s="224">
        <f>IF(T30="",0,T30)</f>
        <v>0</v>
      </c>
      <c r="O30" s="225"/>
      <c r="P30" s="20"/>
      <c r="Q30" s="21"/>
      <c r="S30">
        <f>IF(D30="X",1,IF(E30="X",2,IF(F30="X",3,IF(G30="X",4,IF(H30="X",5,IF(I30="X",6,IF(J30="X",7,IF(K30="X",8,""))))))))</f>
      </c>
      <c r="T30">
        <f>IF(L30="X",9,IF(M30="X",10,S30))</f>
      </c>
      <c r="U30" s="91">
        <f>N30</f>
        <v>0</v>
      </c>
    </row>
    <row r="31" spans="2:17" ht="13.5" thickBot="1">
      <c r="B31" s="35"/>
      <c r="C31" s="20"/>
      <c r="D31" s="220">
        <v>1</v>
      </c>
      <c r="E31" s="220">
        <v>2</v>
      </c>
      <c r="F31" s="220">
        <v>3</v>
      </c>
      <c r="G31" s="220">
        <v>4</v>
      </c>
      <c r="H31" s="220">
        <v>5</v>
      </c>
      <c r="I31" s="220">
        <v>6</v>
      </c>
      <c r="J31" s="220">
        <v>7</v>
      </c>
      <c r="K31" s="220">
        <v>8</v>
      </c>
      <c r="L31" s="220">
        <v>9</v>
      </c>
      <c r="M31" s="220">
        <v>10</v>
      </c>
      <c r="N31" s="225"/>
      <c r="O31" s="225"/>
      <c r="P31" s="20"/>
      <c r="Q31" s="21"/>
    </row>
    <row r="32" spans="2:17" ht="12.75">
      <c r="B32" s="35"/>
      <c r="C32" s="20"/>
      <c r="D32" s="20"/>
      <c r="E32" s="20"/>
      <c r="F32" s="20"/>
      <c r="G32" s="20"/>
      <c r="H32" s="20"/>
      <c r="I32" s="20"/>
      <c r="J32" s="20"/>
      <c r="K32" s="20"/>
      <c r="L32" s="20"/>
      <c r="M32" s="20"/>
      <c r="N32" s="225"/>
      <c r="O32" s="225"/>
      <c r="P32" s="20"/>
      <c r="Q32" s="21"/>
    </row>
    <row r="33" spans="2:17" ht="39" customHeight="1" thickBot="1">
      <c r="B33" s="276">
        <v>8</v>
      </c>
      <c r="C33" s="277" t="s">
        <v>639</v>
      </c>
      <c r="D33" s="215" t="s">
        <v>640</v>
      </c>
      <c r="E33" s="215" t="s">
        <v>641</v>
      </c>
      <c r="F33" s="215" t="s">
        <v>642</v>
      </c>
      <c r="G33" s="215" t="s">
        <v>643</v>
      </c>
      <c r="H33" s="215" t="s">
        <v>644</v>
      </c>
      <c r="I33" s="215" t="s">
        <v>645</v>
      </c>
      <c r="J33" s="253" t="s">
        <v>646</v>
      </c>
      <c r="K33" s="253"/>
      <c r="L33" s="253" t="s">
        <v>647</v>
      </c>
      <c r="M33" s="253"/>
      <c r="N33" s="225"/>
      <c r="O33" s="225"/>
      <c r="P33" s="20"/>
      <c r="Q33" s="21"/>
    </row>
    <row r="34" spans="2:22" ht="38.25" customHeight="1" thickBot="1">
      <c r="B34" s="276"/>
      <c r="C34" s="277"/>
      <c r="D34" s="210"/>
      <c r="E34" s="210"/>
      <c r="F34" s="210"/>
      <c r="G34" s="210"/>
      <c r="H34" s="210"/>
      <c r="I34" s="210"/>
      <c r="J34" s="210"/>
      <c r="K34" s="210"/>
      <c r="L34" s="210"/>
      <c r="M34" s="210"/>
      <c r="N34" s="224">
        <f>IF(T34="",0,T34)</f>
        <v>0</v>
      </c>
      <c r="O34" s="225">
        <f>ROUND((0.5*N30/10+0.5*N34/10)*16+0.3,0)</f>
        <v>0</v>
      </c>
      <c r="P34" s="20"/>
      <c r="Q34" s="21"/>
      <c r="S34">
        <f>IF(D34="X",1,IF(E34="X",2,IF(F34="X",3,IF(G34="X",4,IF(H34="X",5,IF(I34="X",6,IF(J34="X",7,IF(K34="X",8,""))))))))</f>
      </c>
      <c r="T34">
        <f>IF(L34="X",9,IF(M34="X",10,S34))</f>
      </c>
      <c r="U34" s="91">
        <f>IF(N34="?","?",(U30+N34)/2)</f>
        <v>0</v>
      </c>
      <c r="V34" s="91" t="str">
        <f>IF(U34&lt;=1,"A",IF(U34&lt;=2,"B",IF(U34&lt;=4,"C",IF(U34&lt;=5.5,"D",IF(U34&lt;=7,"E",IF(U34&lt;=8.5,"F",IF(U34&lt;=9.5,"G",IF(U34&lt;=10,"H","?"))))))))</f>
        <v>A</v>
      </c>
    </row>
    <row r="35" spans="2:17" ht="13.5" thickBot="1">
      <c r="B35" s="35"/>
      <c r="C35" s="20"/>
      <c r="D35" s="220">
        <v>1</v>
      </c>
      <c r="E35" s="220">
        <v>2</v>
      </c>
      <c r="F35" s="220">
        <v>3</v>
      </c>
      <c r="G35" s="220">
        <v>4</v>
      </c>
      <c r="H35" s="220">
        <v>5</v>
      </c>
      <c r="I35" s="220">
        <v>6</v>
      </c>
      <c r="J35" s="220">
        <v>7</v>
      </c>
      <c r="K35" s="220">
        <v>8</v>
      </c>
      <c r="L35" s="220">
        <v>9</v>
      </c>
      <c r="M35" s="220">
        <v>10</v>
      </c>
      <c r="N35" s="225"/>
      <c r="O35" s="225"/>
      <c r="P35" s="20"/>
      <c r="Q35" s="21"/>
    </row>
    <row r="36" spans="2:17" ht="12.75">
      <c r="B36" s="35"/>
      <c r="C36" s="20"/>
      <c r="D36" s="20"/>
      <c r="E36" s="20"/>
      <c r="F36" s="20"/>
      <c r="G36" s="20"/>
      <c r="H36" s="20"/>
      <c r="I36" s="20"/>
      <c r="J36" s="20"/>
      <c r="K36" s="20"/>
      <c r="L36" s="20"/>
      <c r="M36" s="20"/>
      <c r="N36" s="225"/>
      <c r="O36" s="225"/>
      <c r="P36" s="20"/>
      <c r="Q36" s="21"/>
    </row>
    <row r="37" spans="2:17" ht="39" customHeight="1" thickBot="1">
      <c r="B37" s="276">
        <v>9</v>
      </c>
      <c r="C37" s="277" t="s">
        <v>648</v>
      </c>
      <c r="D37" s="253" t="s">
        <v>649</v>
      </c>
      <c r="E37" s="253"/>
      <c r="F37" s="253" t="s">
        <v>650</v>
      </c>
      <c r="G37" s="253"/>
      <c r="H37" s="253" t="s">
        <v>651</v>
      </c>
      <c r="I37" s="253"/>
      <c r="J37" s="253" t="s">
        <v>652</v>
      </c>
      <c r="K37" s="253"/>
      <c r="L37" s="253" t="s">
        <v>653</v>
      </c>
      <c r="M37" s="253"/>
      <c r="N37" s="225"/>
      <c r="O37" s="225"/>
      <c r="P37" s="20"/>
      <c r="Q37" s="21"/>
    </row>
    <row r="38" spans="2:23" ht="38.25" customHeight="1" thickBot="1">
      <c r="B38" s="276"/>
      <c r="C38" s="277"/>
      <c r="D38" s="210"/>
      <c r="E38" s="210"/>
      <c r="F38" s="210"/>
      <c r="G38" s="210"/>
      <c r="H38" s="210"/>
      <c r="I38" s="210"/>
      <c r="J38" s="210"/>
      <c r="K38" s="210"/>
      <c r="L38" s="210"/>
      <c r="M38" s="210"/>
      <c r="N38" s="224">
        <f>IF(T38="",0,T38)</f>
        <v>0</v>
      </c>
      <c r="O38" s="225"/>
      <c r="P38" s="20"/>
      <c r="Q38" s="21"/>
      <c r="S38">
        <f>IF(D38="X",1,IF(E38="X",2,IF(F38="X",3,IF(G38="X",4,IF(H38="X",5,IF(I38="X",6,IF(J38="X",7,IF(K38="X",8,""))))))))</f>
      </c>
      <c r="T38">
        <f>IF(L38="X",9,IF(M38="X",10,S38))</f>
      </c>
      <c r="U38" s="91">
        <f>N38</f>
        <v>0</v>
      </c>
      <c r="V38" s="91">
        <f>IF(N38="?","?",EXP(LN(10)+(U34*U38)/100*(LN(100)-LN(10))))</f>
        <v>10.000000000000002</v>
      </c>
      <c r="W38">
        <f>V38/100*W26</f>
        <v>3.304347826086957</v>
      </c>
    </row>
    <row r="39" spans="2:22" ht="13.5" thickBot="1">
      <c r="B39" s="35"/>
      <c r="C39" s="20"/>
      <c r="D39" s="220">
        <v>1</v>
      </c>
      <c r="E39" s="220">
        <v>2</v>
      </c>
      <c r="F39" s="220">
        <v>3</v>
      </c>
      <c r="G39" s="220">
        <v>4</v>
      </c>
      <c r="H39" s="220">
        <v>5</v>
      </c>
      <c r="I39" s="220">
        <v>6</v>
      </c>
      <c r="J39" s="220">
        <v>7</v>
      </c>
      <c r="K39" s="220">
        <v>8</v>
      </c>
      <c r="L39" s="220">
        <v>9</v>
      </c>
      <c r="M39" s="220">
        <v>10</v>
      </c>
      <c r="N39" s="225"/>
      <c r="O39" s="225"/>
      <c r="P39" s="20"/>
      <c r="Q39" s="21"/>
      <c r="V39" s="91" t="str">
        <f>IF(U38&lt;=2,"1",IF(U38&lt;=4,"2",IF(U38&lt;=6,"3",IF(U38&lt;=8,"4",IF(U38&lt;=10,"5","?")))))</f>
        <v>1</v>
      </c>
    </row>
    <row r="40" spans="2:22" ht="12.75">
      <c r="B40" s="35"/>
      <c r="C40" s="20"/>
      <c r="D40" s="20"/>
      <c r="E40" s="20"/>
      <c r="F40" s="20"/>
      <c r="G40" s="20"/>
      <c r="H40" s="20"/>
      <c r="I40" s="20"/>
      <c r="J40" s="20"/>
      <c r="K40" s="20"/>
      <c r="L40" s="20"/>
      <c r="M40" s="20"/>
      <c r="N40" s="225"/>
      <c r="O40" s="225"/>
      <c r="P40" s="20"/>
      <c r="Q40" s="21"/>
      <c r="V40" s="91"/>
    </row>
    <row r="41" spans="2:17" ht="71.25" customHeight="1" thickBot="1">
      <c r="B41" s="276">
        <v>10</v>
      </c>
      <c r="C41" s="277" t="s">
        <v>654</v>
      </c>
      <c r="D41" s="206" t="s">
        <v>655</v>
      </c>
      <c r="E41" s="206" t="s">
        <v>656</v>
      </c>
      <c r="F41" s="206" t="s">
        <v>657</v>
      </c>
      <c r="G41" s="206" t="s">
        <v>658</v>
      </c>
      <c r="H41" s="206" t="s">
        <v>659</v>
      </c>
      <c r="I41" s="206" t="s">
        <v>660</v>
      </c>
      <c r="J41" s="206" t="s">
        <v>661</v>
      </c>
      <c r="K41" s="206" t="s">
        <v>662</v>
      </c>
      <c r="L41" s="206" t="s">
        <v>663</v>
      </c>
      <c r="M41" s="206" t="s">
        <v>664</v>
      </c>
      <c r="N41" s="225"/>
      <c r="O41" s="225"/>
      <c r="P41" s="20"/>
      <c r="Q41" s="21"/>
    </row>
    <row r="42" spans="2:21" ht="51" customHeight="1" thickBot="1">
      <c r="B42" s="276"/>
      <c r="C42" s="277"/>
      <c r="D42" s="210"/>
      <c r="E42" s="210"/>
      <c r="F42" s="210"/>
      <c r="G42" s="210"/>
      <c r="H42" s="210"/>
      <c r="I42" s="210"/>
      <c r="J42" s="210"/>
      <c r="K42" s="210"/>
      <c r="L42" s="210"/>
      <c r="M42" s="210"/>
      <c r="N42" s="224">
        <f>IF(T42="",0,T42)</f>
        <v>0</v>
      </c>
      <c r="O42" s="225">
        <f>ROUND((0.5*N38/10+0.5*N42/10)*10,0)</f>
        <v>0</v>
      </c>
      <c r="P42" s="20"/>
      <c r="Q42" s="21"/>
      <c r="S42">
        <f>IF(D42="X",1,IF(E42="X",2,IF(F42="X",3,IF(G42="X",4,IF(H42="X",5,IF(I42="X",6,IF(J42="X",7,IF(K42="X",8,""))))))))</f>
      </c>
      <c r="T42">
        <f>IF(L42="X",9,IF(M42="X",10,S42))</f>
      </c>
      <c r="U42" s="91">
        <f>IF(N42="?","?",N42/10*57)</f>
        <v>0</v>
      </c>
    </row>
    <row r="43" spans="2:17" ht="13.5" thickBot="1">
      <c r="B43" s="35"/>
      <c r="C43" s="20"/>
      <c r="D43" s="220">
        <v>1</v>
      </c>
      <c r="E43" s="220">
        <v>2</v>
      </c>
      <c r="F43" s="220">
        <v>3</v>
      </c>
      <c r="G43" s="220">
        <v>4</v>
      </c>
      <c r="H43" s="220">
        <v>5</v>
      </c>
      <c r="I43" s="220">
        <v>6</v>
      </c>
      <c r="J43" s="220">
        <v>7</v>
      </c>
      <c r="K43" s="220">
        <v>8</v>
      </c>
      <c r="L43" s="220">
        <v>9</v>
      </c>
      <c r="M43" s="220">
        <v>10</v>
      </c>
      <c r="N43" s="225"/>
      <c r="O43" s="225"/>
      <c r="P43" s="20"/>
      <c r="Q43" s="21"/>
    </row>
    <row r="44" spans="2:17" ht="12.75">
      <c r="B44" s="35"/>
      <c r="C44" s="20"/>
      <c r="D44" s="20"/>
      <c r="E44" s="20"/>
      <c r="F44" s="20"/>
      <c r="G44" s="20"/>
      <c r="H44" s="20"/>
      <c r="I44" s="20"/>
      <c r="J44" s="20"/>
      <c r="K44" s="20"/>
      <c r="L44" s="20"/>
      <c r="M44" s="20"/>
      <c r="N44" s="225"/>
      <c r="O44" s="225"/>
      <c r="P44" s="20"/>
      <c r="Q44" s="21"/>
    </row>
    <row r="45" spans="2:17" ht="63" customHeight="1" thickBot="1">
      <c r="B45" s="276">
        <v>11</v>
      </c>
      <c r="C45" s="277" t="s">
        <v>665</v>
      </c>
      <c r="D45" s="206" t="s">
        <v>0</v>
      </c>
      <c r="E45" s="206" t="s">
        <v>1</v>
      </c>
      <c r="F45" s="253" t="s">
        <v>2</v>
      </c>
      <c r="G45" s="253"/>
      <c r="H45" s="253" t="s">
        <v>3</v>
      </c>
      <c r="I45" s="253"/>
      <c r="J45" s="253" t="s">
        <v>4</v>
      </c>
      <c r="K45" s="253"/>
      <c r="L45" s="206" t="s">
        <v>5</v>
      </c>
      <c r="M45" s="206" t="s">
        <v>6</v>
      </c>
      <c r="N45" s="225"/>
      <c r="O45" s="225"/>
      <c r="P45" s="20"/>
      <c r="Q45" s="21"/>
    </row>
    <row r="46" spans="2:22" ht="38.25" customHeight="1" thickBot="1">
      <c r="B46" s="276"/>
      <c r="C46" s="277"/>
      <c r="D46" s="210"/>
      <c r="E46" s="210"/>
      <c r="F46" s="210"/>
      <c r="G46" s="210"/>
      <c r="H46" s="210"/>
      <c r="I46" s="210"/>
      <c r="J46" s="210"/>
      <c r="K46" s="210"/>
      <c r="L46" s="210"/>
      <c r="M46" s="210"/>
      <c r="N46" s="224">
        <f>IF(T46="",0,T46)</f>
        <v>0</v>
      </c>
      <c r="O46" s="225">
        <f>ROUND((N46/10)*21,0)-2</f>
        <v>-2</v>
      </c>
      <c r="P46" s="20"/>
      <c r="Q46" s="21"/>
      <c r="S46">
        <f>IF(D46="X",1,IF(E46="X",2,IF(F46="X",3,IF(G46="X",4,IF(H46="X",5,IF(I46="X",6,IF(J46="X",7,IF(K46="X",8,""))))))))</f>
      </c>
      <c r="T46">
        <f>IF(L46="X",9,IF(M46="X",10,S46))</f>
      </c>
      <c r="U46" s="91">
        <f>N46</f>
        <v>0</v>
      </c>
      <c r="V46" s="91" t="str">
        <f>IF(N46="?","?",IF(U46&lt;=1,"A",IF(U46&lt;=3,"B",IF(U46&lt;=5,"C",IF(U46&lt;=6,"D",IF(U46&lt;=8,"E",IF(U46&lt;=9.5,"F",IF(U46&lt;=10,"G"))))))))</f>
        <v>A</v>
      </c>
    </row>
    <row r="47" spans="2:17" ht="13.5" thickBot="1">
      <c r="B47" s="35"/>
      <c r="C47" s="20"/>
      <c r="D47" s="220">
        <v>1</v>
      </c>
      <c r="E47" s="220">
        <v>2</v>
      </c>
      <c r="F47" s="220">
        <v>3</v>
      </c>
      <c r="G47" s="220">
        <v>4</v>
      </c>
      <c r="H47" s="220">
        <v>5</v>
      </c>
      <c r="I47" s="220">
        <v>6</v>
      </c>
      <c r="J47" s="220">
        <v>7</v>
      </c>
      <c r="K47" s="220">
        <v>8</v>
      </c>
      <c r="L47" s="220">
        <v>9</v>
      </c>
      <c r="M47" s="220">
        <v>10</v>
      </c>
      <c r="N47" s="225"/>
      <c r="O47" s="225"/>
      <c r="P47" s="20"/>
      <c r="Q47" s="21"/>
    </row>
    <row r="48" spans="2:17" ht="12.75">
      <c r="B48" s="35"/>
      <c r="C48" s="20"/>
      <c r="D48" s="20"/>
      <c r="E48" s="20"/>
      <c r="F48" s="20"/>
      <c r="G48" s="20"/>
      <c r="H48" s="20"/>
      <c r="I48" s="20"/>
      <c r="J48" s="20"/>
      <c r="K48" s="20"/>
      <c r="L48" s="20"/>
      <c r="M48" s="20"/>
      <c r="N48" s="225"/>
      <c r="O48" s="225"/>
      <c r="P48" s="20"/>
      <c r="Q48" s="21"/>
    </row>
    <row r="49" spans="2:17" ht="12.75">
      <c r="B49" s="35"/>
      <c r="C49" s="20"/>
      <c r="D49" s="243" t="s">
        <v>19</v>
      </c>
      <c r="E49" s="243"/>
      <c r="F49" s="243"/>
      <c r="G49" s="243"/>
      <c r="H49" s="243"/>
      <c r="I49" s="270" t="s">
        <v>210</v>
      </c>
      <c r="J49" s="243" t="s">
        <v>20</v>
      </c>
      <c r="K49" s="243"/>
      <c r="L49" s="243"/>
      <c r="M49" s="243"/>
      <c r="N49" s="225"/>
      <c r="O49" s="225"/>
      <c r="P49" s="20"/>
      <c r="Q49" s="21"/>
    </row>
    <row r="50" spans="2:17" ht="29.25" customHeight="1" thickBot="1">
      <c r="B50" s="276">
        <v>12</v>
      </c>
      <c r="C50" s="277" t="s">
        <v>21</v>
      </c>
      <c r="D50" s="216" t="s">
        <v>7</v>
      </c>
      <c r="E50" s="216" t="s">
        <v>8</v>
      </c>
      <c r="F50" s="216" t="s">
        <v>9</v>
      </c>
      <c r="G50" s="217" t="s">
        <v>10</v>
      </c>
      <c r="H50" s="217" t="s">
        <v>11</v>
      </c>
      <c r="I50" s="271"/>
      <c r="J50" s="217" t="s">
        <v>12</v>
      </c>
      <c r="K50" s="217" t="s">
        <v>13</v>
      </c>
      <c r="L50" s="217" t="s">
        <v>14</v>
      </c>
      <c r="M50" s="217" t="s">
        <v>11</v>
      </c>
      <c r="N50" s="225"/>
      <c r="O50" s="225"/>
      <c r="P50" s="20"/>
      <c r="Q50" s="21"/>
    </row>
    <row r="51" spans="2:22" ht="59.25" customHeight="1" thickBot="1">
      <c r="B51" s="276"/>
      <c r="C51" s="277"/>
      <c r="D51" s="210"/>
      <c r="E51" s="210"/>
      <c r="F51" s="210"/>
      <c r="G51" s="210"/>
      <c r="H51" s="210"/>
      <c r="I51" s="223"/>
      <c r="J51" s="210"/>
      <c r="K51" s="210"/>
      <c r="L51" s="210"/>
      <c r="M51" s="210"/>
      <c r="N51" s="224">
        <f>IF(T51="",0,T51)</f>
        <v>0</v>
      </c>
      <c r="O51" s="225">
        <f>(O55+(N51-6))</f>
        <v>-6</v>
      </c>
      <c r="P51" s="20"/>
      <c r="Q51" s="21"/>
      <c r="S51">
        <f>IF(D51="X",1,IF(E51="X",2,IF(F51="X",3,IF(G51="X",4,IF(H51="X",5,IF(I51="X",6,IF(J51="X",7,IF(K51="X",8,""))))))))</f>
      </c>
      <c r="T51">
        <f>IF(L51="X",9,IF(M51="X",10,S51))</f>
      </c>
      <c r="U51" s="91">
        <v>1</v>
      </c>
      <c r="V51" s="91" t="s">
        <v>15</v>
      </c>
    </row>
    <row r="52" spans="2:17" ht="13.5" thickBot="1">
      <c r="B52" s="35"/>
      <c r="C52" s="20"/>
      <c r="D52" s="220">
        <v>1</v>
      </c>
      <c r="E52" s="220">
        <v>2</v>
      </c>
      <c r="F52" s="220">
        <v>3</v>
      </c>
      <c r="G52" s="220">
        <v>4</v>
      </c>
      <c r="H52" s="220">
        <v>5</v>
      </c>
      <c r="I52" s="220">
        <v>6</v>
      </c>
      <c r="J52" s="220">
        <v>7</v>
      </c>
      <c r="K52" s="220">
        <v>8</v>
      </c>
      <c r="L52" s="220">
        <v>9</v>
      </c>
      <c r="M52" s="220">
        <v>10</v>
      </c>
      <c r="N52" s="225"/>
      <c r="O52" s="225"/>
      <c r="P52" s="20"/>
      <c r="Q52" s="21"/>
    </row>
    <row r="53" spans="2:17" ht="12.75">
      <c r="B53" s="35"/>
      <c r="C53" s="20"/>
      <c r="D53" s="20"/>
      <c r="E53" s="20"/>
      <c r="F53" s="20"/>
      <c r="G53" s="20"/>
      <c r="H53" s="20"/>
      <c r="I53" s="20"/>
      <c r="J53" s="20"/>
      <c r="K53" s="20"/>
      <c r="L53" s="20"/>
      <c r="M53" s="20"/>
      <c r="N53" s="225"/>
      <c r="O53" s="225"/>
      <c r="P53" s="20"/>
      <c r="Q53" s="21"/>
    </row>
    <row r="54" spans="2:17" ht="26.25" thickBot="1">
      <c r="B54" s="276" t="s">
        <v>16</v>
      </c>
      <c r="C54" s="254" t="s">
        <v>211</v>
      </c>
      <c r="D54" s="217" t="s">
        <v>17</v>
      </c>
      <c r="E54" s="217" t="s">
        <v>18</v>
      </c>
      <c r="F54" s="217" t="s">
        <v>22</v>
      </c>
      <c r="G54" s="217" t="s">
        <v>23</v>
      </c>
      <c r="H54" s="217" t="s">
        <v>24</v>
      </c>
      <c r="I54" s="217" t="s">
        <v>25</v>
      </c>
      <c r="J54" s="217" t="s">
        <v>26</v>
      </c>
      <c r="K54" s="217" t="s">
        <v>27</v>
      </c>
      <c r="L54" s="217" t="s">
        <v>28</v>
      </c>
      <c r="M54" s="217" t="s">
        <v>29</v>
      </c>
      <c r="N54" s="225"/>
      <c r="O54" s="225"/>
      <c r="P54" s="20"/>
      <c r="Q54" s="21"/>
    </row>
    <row r="55" spans="2:23" ht="46.5" customHeight="1" thickBot="1">
      <c r="B55" s="276"/>
      <c r="C55" s="277"/>
      <c r="D55" s="210"/>
      <c r="E55" s="210"/>
      <c r="F55" s="210"/>
      <c r="G55" s="210"/>
      <c r="H55" s="210"/>
      <c r="I55" s="210"/>
      <c r="J55" s="210"/>
      <c r="K55" s="210"/>
      <c r="L55" s="210"/>
      <c r="M55" s="210"/>
      <c r="N55" s="224">
        <f>IF(T55="",0,T55)</f>
        <v>0</v>
      </c>
      <c r="O55" s="225">
        <f>IF(N55&lt;=4,0,IF(N55&lt;7,4,IF(N55&lt;9,8,12)))</f>
        <v>0</v>
      </c>
      <c r="P55" s="20"/>
      <c r="Q55" s="21"/>
      <c r="S55">
        <f>IF(D55="X",1,IF(E55="X",2,IF(F55="X",3,IF(G55="X",4,IF(H55="X",5,IF(I55="X",6,IF(J55="X",7,IF(K55="X",8,""))))))))</f>
      </c>
      <c r="T55">
        <f>IF(L55="X",9,IF(M55="X",10,S55))</f>
      </c>
      <c r="U55" s="91">
        <f>N55</f>
        <v>0</v>
      </c>
      <c r="V55" s="91">
        <v>10</v>
      </c>
      <c r="W55" s="91" t="str">
        <f>IF(U55&lt;=2.5,"1",IF(U55&lt;=5,"2",IF(U55&lt;=7.5,"3",IF(U55&lt;=10,"4","?"))))</f>
        <v>1</v>
      </c>
    </row>
    <row r="56" spans="2:21" ht="13.5" thickBot="1">
      <c r="B56" s="35"/>
      <c r="C56" s="20"/>
      <c r="D56" s="220">
        <v>1</v>
      </c>
      <c r="E56" s="220">
        <v>2</v>
      </c>
      <c r="F56" s="220">
        <v>3</v>
      </c>
      <c r="G56" s="220">
        <v>4</v>
      </c>
      <c r="H56" s="220">
        <v>5</v>
      </c>
      <c r="I56" s="220">
        <v>6</v>
      </c>
      <c r="J56" s="220">
        <v>7</v>
      </c>
      <c r="K56" s="220">
        <v>8</v>
      </c>
      <c r="L56" s="220">
        <v>9</v>
      </c>
      <c r="M56" s="220">
        <v>10</v>
      </c>
      <c r="N56" s="225"/>
      <c r="O56" s="225"/>
      <c r="P56" s="20"/>
      <c r="Q56" s="21"/>
      <c r="S56" s="275" t="str">
        <f>IF(N51="?","","Hay Values")</f>
        <v>Hay Values</v>
      </c>
      <c r="T56" s="275"/>
      <c r="U56" t="str">
        <f>IF(N51="?","","Calculated")</f>
        <v>Calculated</v>
      </c>
    </row>
    <row r="57" spans="2:23" ht="12.75">
      <c r="B57" s="35"/>
      <c r="C57" s="20"/>
      <c r="D57" s="20"/>
      <c r="E57" s="20"/>
      <c r="F57" s="20"/>
      <c r="G57" s="20"/>
      <c r="H57" s="20"/>
      <c r="I57" s="20"/>
      <c r="J57" s="20"/>
      <c r="K57" s="20"/>
      <c r="L57" s="20"/>
      <c r="M57" s="20"/>
      <c r="N57" s="20"/>
      <c r="O57" s="20"/>
      <c r="P57" s="20"/>
      <c r="Q57" s="21"/>
      <c r="S57" s="275" t="str">
        <f>IF(N51="?","","Know-how")</f>
        <v>Know-how</v>
      </c>
      <c r="T57" s="275"/>
      <c r="U57" s="100">
        <f>IF(N51="?","",W26)</f>
        <v>33.04347826086956</v>
      </c>
      <c r="V57" s="211" t="str">
        <f>V18</f>
        <v>A</v>
      </c>
      <c r="W57" t="str">
        <f>V27</f>
        <v>0</v>
      </c>
    </row>
    <row r="58" spans="2:22" ht="12.75" hidden="1">
      <c r="B58" s="35"/>
      <c r="C58" s="56" t="s">
        <v>30</v>
      </c>
      <c r="D58" s="54">
        <v>1</v>
      </c>
      <c r="E58" s="54">
        <v>2</v>
      </c>
      <c r="F58" s="54">
        <v>3</v>
      </c>
      <c r="G58" s="54">
        <v>4</v>
      </c>
      <c r="H58" s="54">
        <v>5</v>
      </c>
      <c r="I58" s="54">
        <v>6</v>
      </c>
      <c r="J58" s="54">
        <v>7</v>
      </c>
      <c r="K58" s="54">
        <v>8</v>
      </c>
      <c r="L58" s="54">
        <v>9</v>
      </c>
      <c r="M58" s="54">
        <v>10</v>
      </c>
      <c r="N58" s="54">
        <v>11</v>
      </c>
      <c r="O58" s="54">
        <v>12</v>
      </c>
      <c r="P58" s="54">
        <v>13</v>
      </c>
      <c r="Q58" s="21"/>
      <c r="S58" s="91"/>
      <c r="T58" s="91"/>
      <c r="U58" s="100"/>
      <c r="V58" s="211"/>
    </row>
    <row r="59" spans="2:22" ht="12.75" hidden="1">
      <c r="B59" s="35"/>
      <c r="C59" s="56" t="s">
        <v>594</v>
      </c>
      <c r="D59" s="54">
        <f>N6</f>
        <v>0</v>
      </c>
      <c r="E59" s="54">
        <f>N10</f>
        <v>0</v>
      </c>
      <c r="F59" s="54">
        <f>N14</f>
        <v>0</v>
      </c>
      <c r="G59" s="54">
        <f>N18</f>
        <v>0</v>
      </c>
      <c r="H59" s="54">
        <f>N22</f>
        <v>0</v>
      </c>
      <c r="I59" s="54">
        <f>N26</f>
        <v>0</v>
      </c>
      <c r="J59" s="54">
        <f>N30</f>
        <v>0</v>
      </c>
      <c r="K59" s="54">
        <f>N34</f>
        <v>0</v>
      </c>
      <c r="L59" s="54">
        <f>N38</f>
        <v>0</v>
      </c>
      <c r="M59" s="54">
        <f>N42</f>
        <v>0</v>
      </c>
      <c r="N59" s="54">
        <f>N46</f>
        <v>0</v>
      </c>
      <c r="O59" s="54">
        <f>N51</f>
        <v>0</v>
      </c>
      <c r="P59" s="54">
        <f>N55</f>
        <v>0</v>
      </c>
      <c r="Q59" s="21"/>
      <c r="S59" s="91"/>
      <c r="T59" s="91"/>
      <c r="U59" s="100"/>
      <c r="V59" s="211"/>
    </row>
    <row r="60" spans="2:22" ht="12.75" hidden="1">
      <c r="B60" s="35"/>
      <c r="C60" s="20"/>
      <c r="D60" s="20"/>
      <c r="E60" s="20"/>
      <c r="F60" s="20"/>
      <c r="G60" s="20"/>
      <c r="H60" s="20"/>
      <c r="I60" s="20"/>
      <c r="J60" s="20"/>
      <c r="K60" s="20"/>
      <c r="L60" s="20"/>
      <c r="M60" s="20"/>
      <c r="N60" s="20"/>
      <c r="O60" s="20"/>
      <c r="P60" s="20"/>
      <c r="Q60" s="21"/>
      <c r="S60" s="91"/>
      <c r="T60" s="91"/>
      <c r="U60" s="100"/>
      <c r="V60" s="211"/>
    </row>
    <row r="61" spans="2:23" ht="12.75" hidden="1">
      <c r="B61" s="35"/>
      <c r="C61" s="20"/>
      <c r="D61" s="20"/>
      <c r="E61" s="20"/>
      <c r="F61" s="20"/>
      <c r="G61" s="20"/>
      <c r="H61" s="20"/>
      <c r="I61" s="20"/>
      <c r="J61" s="20"/>
      <c r="K61" s="20"/>
      <c r="L61" s="20"/>
      <c r="M61" s="20"/>
      <c r="N61" s="20"/>
      <c r="O61" s="20"/>
      <c r="P61" s="20"/>
      <c r="Q61" s="21"/>
      <c r="S61" s="275" t="str">
        <f>IF(N51="?","","Problemsolving")</f>
        <v>Problemsolving</v>
      </c>
      <c r="T61" s="275"/>
      <c r="U61" s="100">
        <f>IF(N51="?","",W38)</f>
        <v>3.304347826086957</v>
      </c>
      <c r="V61" s="211" t="str">
        <f>V34</f>
        <v>A</v>
      </c>
      <c r="W61" t="str">
        <f>V39</f>
        <v>1</v>
      </c>
    </row>
    <row r="62" spans="2:23" ht="12.75" hidden="1">
      <c r="B62" s="35"/>
      <c r="C62" s="20"/>
      <c r="D62" s="20"/>
      <c r="E62" s="20"/>
      <c r="F62" s="20"/>
      <c r="G62" s="20"/>
      <c r="H62" s="20"/>
      <c r="I62" s="20"/>
      <c r="J62" s="20"/>
      <c r="K62" s="20"/>
      <c r="L62" s="20"/>
      <c r="M62" s="20"/>
      <c r="N62" s="20"/>
      <c r="O62" s="20"/>
      <c r="P62" s="20"/>
      <c r="Q62" s="21"/>
      <c r="S62" s="275" t="str">
        <f>IF(N51="?","","Accountability")</f>
        <v>Accountability</v>
      </c>
      <c r="T62" s="275"/>
      <c r="U62" s="100">
        <f>IF(N51="?","",V55)</f>
        <v>10</v>
      </c>
      <c r="V62" s="211" t="str">
        <f>V46</f>
        <v>A</v>
      </c>
      <c r="W62" t="s">
        <v>31</v>
      </c>
    </row>
    <row r="63" spans="2:21" ht="12.75" hidden="1">
      <c r="B63" s="35"/>
      <c r="C63" s="20"/>
      <c r="D63" s="20"/>
      <c r="E63" s="20"/>
      <c r="F63" s="20"/>
      <c r="G63" s="20"/>
      <c r="H63" s="20"/>
      <c r="I63" s="20"/>
      <c r="J63" s="20"/>
      <c r="K63" s="20"/>
      <c r="L63" s="20"/>
      <c r="M63" s="20"/>
      <c r="N63" s="20"/>
      <c r="O63" s="20"/>
      <c r="P63" s="20"/>
      <c r="Q63" s="21"/>
      <c r="S63" s="275" t="str">
        <f>IF(N51="?","","Total")</f>
        <v>Total</v>
      </c>
      <c r="T63" s="275"/>
      <c r="U63" s="100">
        <f>IF(N51="?","",SUM(U57:U62))</f>
        <v>46.347826086956516</v>
      </c>
    </row>
    <row r="64" spans="2:22" ht="13.5" thickBot="1">
      <c r="B64" s="40"/>
      <c r="C64" s="25"/>
      <c r="D64" s="25"/>
      <c r="E64" s="25"/>
      <c r="F64" s="25"/>
      <c r="G64" s="25"/>
      <c r="H64" s="25"/>
      <c r="I64" s="25"/>
      <c r="J64" s="25"/>
      <c r="K64" s="25"/>
      <c r="L64" s="25"/>
      <c r="M64" s="25"/>
      <c r="N64" s="25"/>
      <c r="O64" s="25"/>
      <c r="P64" s="25"/>
      <c r="Q64" s="27"/>
      <c r="S64" s="275" t="str">
        <f>IF(N51="?","","Short Profile")</f>
        <v>Short Profile</v>
      </c>
      <c r="T64" s="275"/>
      <c r="U64" s="218" t="str">
        <f>IF(N51="?","",IF(U62&gt;U61,"A","P"))</f>
        <v>A</v>
      </c>
      <c r="V64" s="219">
        <f>IF(N51="?","",IF(U62&gt;U61,(LN(U62/U61)/LN(1.15)),-(LN(U62/U61)/LN(1.15))))</f>
        <v>7.923086570051021</v>
      </c>
    </row>
    <row r="65" ht="13.5" thickTop="1"/>
  </sheetData>
  <sheetProtection password="CA99" sheet="1" objects="1" scenarios="1" selectLockedCells="1"/>
  <mergeCells count="59">
    <mergeCell ref="C3:O3"/>
    <mergeCell ref="S61:T61"/>
    <mergeCell ref="S62:T62"/>
    <mergeCell ref="S63:T63"/>
    <mergeCell ref="J45:K45"/>
    <mergeCell ref="D49:H49"/>
    <mergeCell ref="J49:M49"/>
    <mergeCell ref="F45:G45"/>
    <mergeCell ref="H45:I45"/>
    <mergeCell ref="H37:I37"/>
    <mergeCell ref="S64:T64"/>
    <mergeCell ref="B54:B55"/>
    <mergeCell ref="C54:C55"/>
    <mergeCell ref="S56:T56"/>
    <mergeCell ref="S57:T57"/>
    <mergeCell ref="B50:B51"/>
    <mergeCell ref="C50:C51"/>
    <mergeCell ref="B45:B46"/>
    <mergeCell ref="C45:C46"/>
    <mergeCell ref="J37:K37"/>
    <mergeCell ref="L37:M37"/>
    <mergeCell ref="B41:B42"/>
    <mergeCell ref="C41:C42"/>
    <mergeCell ref="B37:B38"/>
    <mergeCell ref="C37:C38"/>
    <mergeCell ref="D37:E37"/>
    <mergeCell ref="F37:G37"/>
    <mergeCell ref="B33:B34"/>
    <mergeCell ref="C33:C34"/>
    <mergeCell ref="J33:K33"/>
    <mergeCell ref="L33:M33"/>
    <mergeCell ref="B29:B30"/>
    <mergeCell ref="C29:C30"/>
    <mergeCell ref="J29:K29"/>
    <mergeCell ref="L29:M29"/>
    <mergeCell ref="B21:B22"/>
    <mergeCell ref="C21:C22"/>
    <mergeCell ref="J25:K25"/>
    <mergeCell ref="L25:M25"/>
    <mergeCell ref="B25:B26"/>
    <mergeCell ref="C25:C26"/>
    <mergeCell ref="F25:G25"/>
    <mergeCell ref="H25:I25"/>
    <mergeCell ref="U4:V4"/>
    <mergeCell ref="B5:B6"/>
    <mergeCell ref="C5:C6"/>
    <mergeCell ref="D5:E5"/>
    <mergeCell ref="F5:I5"/>
    <mergeCell ref="J5:M5"/>
    <mergeCell ref="I49:I50"/>
    <mergeCell ref="C2:M2"/>
    <mergeCell ref="B4:C4"/>
    <mergeCell ref="S4:T4"/>
    <mergeCell ref="B9:B10"/>
    <mergeCell ref="C9:C10"/>
    <mergeCell ref="B13:B14"/>
    <mergeCell ref="C13:C14"/>
    <mergeCell ref="B17:B18"/>
    <mergeCell ref="C17:C18"/>
  </mergeCells>
  <printOptions/>
  <pageMargins left="0.75" right="0.75" top="1" bottom="1" header="0.5" footer="0.5"/>
  <pageSetup fitToHeight="1" fitToWidth="1" horizontalDpi="600" verticalDpi="600" orientation="portrait" paperSize="9" scale="49" r:id="rId4"/>
  <headerFooter alignWithMargins="0">
    <oddHeader>&amp;CHAY PARAMETER ESTIMATION</oddHeader>
    <oddFooter>&amp;L&amp;D&amp;CPage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B1:H39"/>
  <sheetViews>
    <sheetView zoomScale="75" zoomScaleNormal="75" workbookViewId="0" topLeftCell="A1">
      <selection activeCell="H3" sqref="H3"/>
    </sheetView>
  </sheetViews>
  <sheetFormatPr defaultColWidth="9.140625" defaultRowHeight="12.75"/>
  <cols>
    <col min="1" max="1" width="2.28125" style="0" customWidth="1"/>
    <col min="2" max="2" width="7.140625" style="2" customWidth="1"/>
    <col min="3" max="3" width="4.7109375" style="2" bestFit="1" customWidth="1"/>
    <col min="4" max="4" width="12.8515625" style="1" customWidth="1"/>
    <col min="5" max="5" width="38.57421875" style="3" customWidth="1"/>
    <col min="6" max="6" width="14.28125" style="1" customWidth="1"/>
    <col min="7" max="7" width="14.8515625" style="3" customWidth="1"/>
    <col min="8" max="8" width="11.28125" style="3" customWidth="1"/>
  </cols>
  <sheetData>
    <row r="1" spans="2:8" ht="72" customHeight="1" thickBot="1">
      <c r="B1" s="244" t="s">
        <v>95</v>
      </c>
      <c r="C1" s="245"/>
      <c r="D1" s="245"/>
      <c r="E1" s="245"/>
      <c r="F1" s="245"/>
      <c r="G1" s="245"/>
      <c r="H1" s="245"/>
    </row>
    <row r="2" spans="2:8" ht="26.25" thickTop="1">
      <c r="B2" s="174" t="s">
        <v>297</v>
      </c>
      <c r="C2" s="70"/>
      <c r="D2" s="4" t="s">
        <v>323</v>
      </c>
      <c r="E2" s="4" t="s">
        <v>298</v>
      </c>
      <c r="F2" s="4" t="s">
        <v>317</v>
      </c>
      <c r="G2" s="4" t="s">
        <v>327</v>
      </c>
      <c r="H2" s="5" t="s">
        <v>328</v>
      </c>
    </row>
    <row r="3" spans="2:8" ht="38.25">
      <c r="B3" s="6" t="s">
        <v>299</v>
      </c>
      <c r="C3" s="247" t="s">
        <v>493</v>
      </c>
      <c r="D3" s="7" t="s">
        <v>324</v>
      </c>
      <c r="E3" s="8" t="s">
        <v>308</v>
      </c>
      <c r="F3" s="7" t="s">
        <v>318</v>
      </c>
      <c r="G3" s="8" t="s">
        <v>329</v>
      </c>
      <c r="H3" s="76">
        <f>IF(Scoping!N6=1,"o","")</f>
      </c>
    </row>
    <row r="4" spans="2:8" ht="38.25">
      <c r="B4" s="6" t="s">
        <v>300</v>
      </c>
      <c r="C4" s="247"/>
      <c r="D4" s="7" t="s">
        <v>324</v>
      </c>
      <c r="E4" s="8" t="s">
        <v>309</v>
      </c>
      <c r="F4" s="7" t="s">
        <v>318</v>
      </c>
      <c r="G4" s="8" t="s">
        <v>330</v>
      </c>
      <c r="H4" s="76">
        <f>IF(Scoping!N6=2,"o","")</f>
      </c>
    </row>
    <row r="5" spans="2:8" ht="25.5">
      <c r="B5" s="6" t="s">
        <v>301</v>
      </c>
      <c r="C5" s="247" t="s">
        <v>494</v>
      </c>
      <c r="D5" s="7" t="s">
        <v>324</v>
      </c>
      <c r="E5" s="8" t="s">
        <v>310</v>
      </c>
      <c r="F5" s="7" t="s">
        <v>319</v>
      </c>
      <c r="G5" s="8" t="s">
        <v>331</v>
      </c>
      <c r="H5" s="76">
        <f>IF(Scoping!N6=3,"o","")</f>
      </c>
    </row>
    <row r="6" spans="2:8" ht="51">
      <c r="B6" s="6" t="s">
        <v>302</v>
      </c>
      <c r="C6" s="247"/>
      <c r="D6" s="7" t="s">
        <v>324</v>
      </c>
      <c r="E6" s="8" t="s">
        <v>311</v>
      </c>
      <c r="F6" s="7" t="s">
        <v>319</v>
      </c>
      <c r="G6" s="8" t="s">
        <v>332</v>
      </c>
      <c r="H6" s="76">
        <f>IF(Scoping!N6=4,"O","")</f>
      </c>
    </row>
    <row r="7" spans="2:8" ht="25.5">
      <c r="B7" s="6" t="s">
        <v>303</v>
      </c>
      <c r="C7" s="247"/>
      <c r="D7" s="7" t="s">
        <v>325</v>
      </c>
      <c r="E7" s="8" t="s">
        <v>314</v>
      </c>
      <c r="F7" s="7" t="s">
        <v>320</v>
      </c>
      <c r="G7" s="8"/>
      <c r="H7" s="76">
        <f>IF(Scoping!N6=5,"o","")</f>
      </c>
    </row>
    <row r="8" spans="2:8" ht="18">
      <c r="B8" s="6" t="s">
        <v>304</v>
      </c>
      <c r="C8" s="247" t="s">
        <v>495</v>
      </c>
      <c r="D8" s="7" t="s">
        <v>326</v>
      </c>
      <c r="E8" s="8" t="s">
        <v>312</v>
      </c>
      <c r="F8" s="7" t="s">
        <v>320</v>
      </c>
      <c r="G8" s="8"/>
      <c r="H8" s="76">
        <f>IF(Scoping!N6=6,"O","")</f>
      </c>
    </row>
    <row r="9" spans="2:8" ht="25.5">
      <c r="B9" s="6" t="s">
        <v>305</v>
      </c>
      <c r="C9" s="247"/>
      <c r="D9" s="7" t="s">
        <v>326</v>
      </c>
      <c r="E9" s="8" t="s">
        <v>313</v>
      </c>
      <c r="F9" s="7" t="s">
        <v>321</v>
      </c>
      <c r="G9" s="8"/>
      <c r="H9" s="76">
        <f>IF(Scoping!N6=7,"o","")</f>
      </c>
    </row>
    <row r="10" spans="2:8" ht="18">
      <c r="B10" s="6" t="s">
        <v>306</v>
      </c>
      <c r="C10" s="247"/>
      <c r="D10" s="7" t="s">
        <v>326</v>
      </c>
      <c r="E10" s="8" t="s">
        <v>315</v>
      </c>
      <c r="F10" s="7" t="s">
        <v>322</v>
      </c>
      <c r="G10" s="8"/>
      <c r="H10" s="76">
        <f>IF(Scoping!N6=8,"o","")</f>
      </c>
    </row>
    <row r="11" spans="2:8" ht="25.5">
      <c r="B11" s="6" t="s">
        <v>307</v>
      </c>
      <c r="C11" s="247"/>
      <c r="D11" s="7" t="s">
        <v>326</v>
      </c>
      <c r="E11" s="8" t="s">
        <v>316</v>
      </c>
      <c r="F11" s="7" t="s">
        <v>322</v>
      </c>
      <c r="G11" s="8"/>
      <c r="H11" s="76">
        <f>IF(Scoping!N6=9,"o","")</f>
      </c>
    </row>
    <row r="12" spans="2:8" ht="24" thickBot="1">
      <c r="B12" s="9"/>
      <c r="C12" s="71"/>
      <c r="D12" s="10"/>
      <c r="E12" s="246" t="s">
        <v>333</v>
      </c>
      <c r="F12" s="246"/>
      <c r="G12" s="246"/>
      <c r="H12" s="11" t="str">
        <f>+IF($H$3&lt;&gt;"","A4",IF($H$4&lt;&gt;"","A3",IF($H$5&lt;&gt;"","A2",IF($H$6&lt;&gt;"","A1",IF($H$7&lt;&gt;"","L",IF($H$8&lt;&gt;"","P1",IF($H$9&lt;&gt;"","P2",IF($H$10&lt;&gt;"","P3","P4"))))))))</f>
        <v>P4</v>
      </c>
    </row>
    <row r="13" ht="13.5" thickTop="1"/>
    <row r="14" spans="4:8" ht="12.75">
      <c r="D14" s="248"/>
      <c r="E14" s="248"/>
      <c r="H14" s="234" t="s">
        <v>220</v>
      </c>
    </row>
    <row r="15" spans="4:6" ht="18">
      <c r="D15" s="248" t="s">
        <v>67</v>
      </c>
      <c r="E15" s="248"/>
      <c r="F15" s="78"/>
    </row>
    <row r="16" spans="4:7" ht="18">
      <c r="D16" s="249">
        <f>IF(F15&lt;&gt;"","Do Accountability first and type figure in here             ----&gt;&gt;&gt;","")</f>
      </c>
      <c r="E16" s="249"/>
      <c r="F16" s="78"/>
      <c r="G16" s="135">
        <f>+IF($H$3&lt;&gt;"",-4,IF($H$4&lt;&gt;"",-3,IF($H$5&lt;&gt;"",-2,IF($H$6&lt;&gt;"",-1,IF($H$7&lt;&gt;"",0,IF($H$8&lt;&gt;"",1,IF($H$9&lt;&gt;"",2,IF($H$10&lt;&gt;"",3,4))))))))</f>
        <v>4</v>
      </c>
    </row>
    <row r="17" spans="4:6" ht="12.75">
      <c r="D17" s="248">
        <f>IF(F15&lt;&gt;""," The figure for Problemsolving is","")</f>
      </c>
      <c r="E17" s="248"/>
      <c r="F17" s="133">
        <f>IF(F15&lt;&gt;"",F16*1.15^G16,"")</f>
      </c>
    </row>
    <row r="18" spans="4:6" ht="12.75">
      <c r="D18" s="250">
        <f>IF(F15&lt;&gt;"","Choose the most appropriate Problem solving % below","")</f>
      </c>
      <c r="E18" s="250"/>
      <c r="F18" s="250"/>
    </row>
    <row r="19" spans="3:7" ht="54.75" customHeight="1">
      <c r="C19" s="78"/>
      <c r="D19" s="248">
        <f>IF(F15&lt;&gt;"",Problem!Q5,"")</f>
      </c>
      <c r="E19" s="248"/>
      <c r="F19" s="248"/>
      <c r="G19" s="136">
        <f>IF(C19&lt;&gt;"",0.57,"")</f>
      </c>
    </row>
    <row r="20" spans="3:7" ht="60.75" customHeight="1">
      <c r="C20" s="78"/>
      <c r="D20" s="248">
        <f>IF(F15&lt;&gt;"",Problem!Q6,"")</f>
      </c>
      <c r="E20" s="248"/>
      <c r="F20" s="248"/>
      <c r="G20" s="136">
        <f>IF(C20&lt;&gt;"",0.5,"")</f>
      </c>
    </row>
    <row r="21" spans="3:7" ht="65.25" customHeight="1">
      <c r="C21" s="78"/>
      <c r="D21" s="248">
        <f>IF(F15&lt;&gt;"",Problem!Q7,"")</f>
      </c>
      <c r="E21" s="248"/>
      <c r="F21" s="248"/>
      <c r="G21" s="136">
        <f>IF(C21&lt;&gt;"",0.43,"")</f>
      </c>
    </row>
    <row r="22" spans="3:7" ht="52.5" customHeight="1">
      <c r="C22" s="78"/>
      <c r="D22" s="248">
        <f>IF(F15&lt;&gt;"",Problem!Q8,"")</f>
      </c>
      <c r="E22" s="248"/>
      <c r="F22" s="248"/>
      <c r="G22" s="136">
        <f>IF(C22&lt;&gt;"",0.38,"")</f>
      </c>
    </row>
    <row r="23" spans="3:7" ht="42" customHeight="1">
      <c r="C23" s="78"/>
      <c r="D23" s="248">
        <f>IF(F15&lt;&gt;"",Problem!Q9,"")</f>
      </c>
      <c r="E23" s="248"/>
      <c r="F23" s="248"/>
      <c r="G23" s="136">
        <f>IF(C23&lt;&gt;"",0.33,"")</f>
      </c>
    </row>
    <row r="24" spans="3:7" ht="33" customHeight="1">
      <c r="C24" s="78"/>
      <c r="D24" s="248">
        <f>IF(F15&lt;&gt;"",Problem!Q10,"")</f>
      </c>
      <c r="E24" s="248"/>
      <c r="F24" s="248"/>
      <c r="G24" s="136">
        <f>IF(C24&lt;&gt;"",0.29,"")</f>
      </c>
    </row>
    <row r="25" spans="3:7" ht="30.75" customHeight="1">
      <c r="C25" s="78"/>
      <c r="D25" s="248">
        <f>IF(F15&lt;&gt;"",Problem!Q11,"")</f>
      </c>
      <c r="E25" s="248"/>
      <c r="F25" s="248"/>
      <c r="G25" s="136">
        <f>IF(C25&lt;&gt;"",0.25,"")</f>
      </c>
    </row>
    <row r="26" spans="3:7" ht="27" customHeight="1">
      <c r="C26" s="78"/>
      <c r="D26" s="248">
        <f>IF(F15&lt;&gt;"",Problem!Q12,"")</f>
      </c>
      <c r="E26" s="248"/>
      <c r="F26" s="248"/>
      <c r="G26" s="136">
        <f>IF(C26&lt;&gt;"",0.22,"")</f>
      </c>
    </row>
    <row r="27" spans="3:7" ht="37.5" customHeight="1">
      <c r="C27" s="78"/>
      <c r="D27" s="248">
        <f>IF(F15&lt;&gt;"",Problem!Q13,"")</f>
      </c>
      <c r="E27" s="248"/>
      <c r="F27" s="248"/>
      <c r="G27" s="136">
        <f>IF(C27&lt;&gt;"",0.19,"")</f>
      </c>
    </row>
    <row r="28" spans="3:7" ht="27.75" customHeight="1">
      <c r="C28" s="78"/>
      <c r="D28" s="248">
        <f>IF(F15&lt;&gt;"",Problem!Q14,"")</f>
      </c>
      <c r="E28" s="248"/>
      <c r="F28" s="248"/>
      <c r="G28" s="136">
        <f>IF(C28&lt;&gt;"",0.16,"")</f>
      </c>
    </row>
    <row r="29" spans="3:7" ht="20.25" customHeight="1">
      <c r="C29" s="78"/>
      <c r="D29" s="248">
        <f>IF(F15&lt;&gt;"",Problem!Q15,"")</f>
      </c>
      <c r="E29" s="248"/>
      <c r="F29" s="248"/>
      <c r="G29" s="136">
        <f>IF(C29&lt;&gt;"",0.14,"")</f>
      </c>
    </row>
    <row r="30" spans="3:7" ht="12.75" customHeight="1">
      <c r="C30" s="78"/>
      <c r="D30" s="248">
        <f>IF(F15&lt;&gt;"",Problem!Q16,"")</f>
      </c>
      <c r="E30" s="248"/>
      <c r="F30" s="248"/>
      <c r="G30" s="136">
        <f>IF(C30&lt;&gt;"",0.12,"")</f>
      </c>
    </row>
    <row r="31" spans="3:7" ht="12.75" customHeight="1">
      <c r="C31" s="78"/>
      <c r="D31" s="248">
        <f>IF(F15&lt;&gt;"",Problem!Q17,"")</f>
      </c>
      <c r="E31" s="248"/>
      <c r="F31" s="248"/>
      <c r="G31" s="136">
        <f>IF(C31&lt;&gt;"",0.1,"")</f>
      </c>
    </row>
    <row r="32" spans="4:7" ht="13.5" thickBot="1">
      <c r="D32" s="248">
        <f>IF(F15&lt;&gt;""," Figure for Know-How is:","")</f>
      </c>
      <c r="E32" s="248"/>
      <c r="F32" s="133">
        <f>IF(F15&lt;&gt;"",F17/G32,"")</f>
      </c>
      <c r="G32" s="136">
        <f>SUM(G19:G31)</f>
        <v>0</v>
      </c>
    </row>
    <row r="33" spans="4:6" ht="13.5" thickTop="1">
      <c r="D33" s="134"/>
      <c r="E33" s="137">
        <f>IF(F15&lt;&gt;"","SUMMARY:","")</f>
      </c>
      <c r="F33" s="138"/>
    </row>
    <row r="34" spans="4:6" ht="12.75">
      <c r="D34" s="134"/>
      <c r="E34" s="45">
        <f>IF(F15&lt;&gt;"","Short Profile:","")</f>
      </c>
      <c r="F34" s="139">
        <f>IF(F15&lt;&gt;"",H12,"")</f>
      </c>
    </row>
    <row r="35" spans="4:6" ht="12.75">
      <c r="D35" s="134"/>
      <c r="E35" s="45">
        <f>IF(F15&lt;&gt;"","Know-How:","")</f>
      </c>
      <c r="F35" s="140">
        <f>IF(F15&lt;&gt;"",F32,"")</f>
      </c>
    </row>
    <row r="36" spans="4:6" ht="12.75">
      <c r="D36" s="134"/>
      <c r="E36" s="45">
        <f>IF(F15&lt;&gt;"","Problem Solving","")</f>
      </c>
      <c r="F36" s="140">
        <f>IF(F15&lt;&gt;"",F17,"")</f>
      </c>
    </row>
    <row r="37" spans="4:6" ht="12.75">
      <c r="D37" s="134"/>
      <c r="E37" s="45">
        <f>IF(F15&lt;&gt;"","Accountability:","")</f>
      </c>
      <c r="F37" s="139">
        <f>IF(F15&lt;&gt;"",F16,"")</f>
      </c>
    </row>
    <row r="38" spans="4:6" ht="13.5" thickBot="1">
      <c r="D38" s="134"/>
      <c r="E38" s="141">
        <f>IF(F15&lt;&gt;"","Approximate Hay Value:","")</f>
      </c>
      <c r="F38" s="142">
        <f>IF(F15&lt;&gt;"",SUM(F35:F37),"")</f>
      </c>
    </row>
    <row r="39" spans="4:6" ht="13.5" thickTop="1">
      <c r="D39" s="134"/>
      <c r="F39" s="193" t="s">
        <v>220</v>
      </c>
    </row>
  </sheetData>
  <sheetProtection password="CA99" sheet="1" objects="1" scenarios="1" selectLockedCells="1"/>
  <mergeCells count="24">
    <mergeCell ref="D25:F25"/>
    <mergeCell ref="D29:F29"/>
    <mergeCell ref="D30:F30"/>
    <mergeCell ref="D31:F31"/>
    <mergeCell ref="D32:E32"/>
    <mergeCell ref="D18:F18"/>
    <mergeCell ref="D26:F26"/>
    <mergeCell ref="D27:F27"/>
    <mergeCell ref="D28:F28"/>
    <mergeCell ref="D19:F19"/>
    <mergeCell ref="D20:F20"/>
    <mergeCell ref="D21:F21"/>
    <mergeCell ref="D22:F22"/>
    <mergeCell ref="D23:F23"/>
    <mergeCell ref="D24:F24"/>
    <mergeCell ref="D14:E14"/>
    <mergeCell ref="D15:E15"/>
    <mergeCell ref="D16:E16"/>
    <mergeCell ref="D17:E17"/>
    <mergeCell ref="B1:H1"/>
    <mergeCell ref="E12:G12"/>
    <mergeCell ref="C3:C4"/>
    <mergeCell ref="C5:C7"/>
    <mergeCell ref="C8:C11"/>
  </mergeCells>
  <hyperlinks>
    <hyperlink ref="D16:E16" location="Accountability!A1" display="Accountability!A1"/>
    <hyperlink ref="H14" location="Knowhow!G5" display="Next Step"/>
    <hyperlink ref="F39" location="Knowhow!A1" display="Next Step"/>
  </hyperlinks>
  <printOptions gridLines="1"/>
  <pageMargins left="0.75" right="0.75" top="1" bottom="1" header="0.5" footer="0.5"/>
  <pageSetup fitToHeight="1" fitToWidth="1" horizontalDpi="300" verticalDpi="300" orientation="portrait" paperSize="9" scale="68" r:id="rId3"/>
  <headerFooter alignWithMargins="0">
    <oddHeader>&amp;CSHORT PROFILE DETERMINATION</oddHeader>
    <oddFooter>&amp;L&amp;D&amp;CPage 3</oddFooter>
  </headerFooter>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2:Y52"/>
  <sheetViews>
    <sheetView zoomScale="75" zoomScaleNormal="75" workbookViewId="0" topLeftCell="A1">
      <selection activeCell="G5" sqref="G5"/>
    </sheetView>
  </sheetViews>
  <sheetFormatPr defaultColWidth="9.140625" defaultRowHeight="12.75"/>
  <cols>
    <col min="1" max="1" width="2.421875" style="0" customWidth="1"/>
    <col min="2" max="2" width="17.8515625" style="12" customWidth="1"/>
    <col min="3" max="3" width="4.28125" style="12" customWidth="1"/>
    <col min="4" max="4" width="3.421875" style="0" customWidth="1"/>
    <col min="5" max="5" width="3.140625" style="0" customWidth="1"/>
    <col min="6" max="6" width="17.8515625" style="0" customWidth="1"/>
    <col min="7" max="7" width="10.28125" style="0" customWidth="1"/>
    <col min="8" max="9" width="1.1484375" style="0" customWidth="1"/>
    <col min="10" max="10" width="18.00390625" style="13" customWidth="1"/>
    <col min="11" max="11" width="5.140625" style="0" customWidth="1"/>
    <col min="12" max="12" width="2.8515625" style="0" customWidth="1"/>
    <col min="13" max="13" width="35.57421875" style="0" customWidth="1"/>
    <col min="14" max="14" width="10.7109375" style="0" customWidth="1"/>
    <col min="15" max="16" width="9.140625" style="0" hidden="1" customWidth="1"/>
    <col min="17" max="17" width="10.140625" style="0" hidden="1" customWidth="1"/>
    <col min="18" max="18" width="9.140625" style="0" hidden="1" customWidth="1"/>
    <col min="19" max="25" width="0" style="0" hidden="1" customWidth="1"/>
  </cols>
  <sheetData>
    <row r="1" ht="3.75" customHeight="1" thickBot="1"/>
    <row r="2" spans="2:14" ht="78.75" customHeight="1" thickTop="1">
      <c r="B2" s="251" t="s">
        <v>144</v>
      </c>
      <c r="C2" s="238"/>
      <c r="D2" s="238"/>
      <c r="E2" s="238"/>
      <c r="F2" s="238"/>
      <c r="G2" s="238"/>
      <c r="H2" s="238"/>
      <c r="I2" s="238"/>
      <c r="J2" s="238"/>
      <c r="K2" s="238"/>
      <c r="L2" s="238"/>
      <c r="M2" s="238"/>
      <c r="N2" s="15"/>
    </row>
    <row r="3" spans="2:25" ht="70.5" customHeight="1">
      <c r="B3" s="283" t="s">
        <v>410</v>
      </c>
      <c r="C3" s="284"/>
      <c r="D3" s="284"/>
      <c r="E3" s="284"/>
      <c r="F3" s="284"/>
      <c r="G3" s="284"/>
      <c r="H3" s="16"/>
      <c r="I3" s="16"/>
      <c r="J3" s="293" t="s">
        <v>514</v>
      </c>
      <c r="K3" s="293"/>
      <c r="L3" s="293"/>
      <c r="M3" s="293"/>
      <c r="N3" s="294"/>
      <c r="O3" s="124" t="s">
        <v>526</v>
      </c>
      <c r="P3" s="124" t="s">
        <v>65</v>
      </c>
      <c r="Q3" s="124" t="s">
        <v>63</v>
      </c>
      <c r="R3" s="124" t="s">
        <v>64</v>
      </c>
      <c r="S3" s="275" t="s">
        <v>143</v>
      </c>
      <c r="T3" s="275"/>
      <c r="U3" s="275"/>
      <c r="V3" s="275"/>
      <c r="W3" s="275"/>
      <c r="X3" s="275"/>
      <c r="Y3" s="275"/>
    </row>
    <row r="4" spans="2:25" ht="15.75">
      <c r="B4" s="17"/>
      <c r="C4" s="18"/>
      <c r="D4" s="287" t="s">
        <v>337</v>
      </c>
      <c r="E4" s="287"/>
      <c r="F4" s="22" t="s">
        <v>327</v>
      </c>
      <c r="G4" s="30" t="s">
        <v>328</v>
      </c>
      <c r="H4" s="16"/>
      <c r="I4" s="16"/>
      <c r="J4" s="19"/>
      <c r="K4" s="287" t="s">
        <v>337</v>
      </c>
      <c r="L4" s="287"/>
      <c r="M4" s="22" t="s">
        <v>327</v>
      </c>
      <c r="N4" s="29" t="s">
        <v>328</v>
      </c>
      <c r="O4" s="91">
        <v>1400</v>
      </c>
      <c r="P4" s="91">
        <f>IF($J$22&gt;(O5+(O4-O5)/2),O4,"")</f>
      </c>
      <c r="Q4" s="91"/>
      <c r="S4">
        <v>1</v>
      </c>
      <c r="T4" t="s">
        <v>562</v>
      </c>
      <c r="U4" t="s">
        <v>112</v>
      </c>
      <c r="V4" t="s">
        <v>563</v>
      </c>
      <c r="W4" t="s">
        <v>104</v>
      </c>
      <c r="X4" t="s">
        <v>562</v>
      </c>
      <c r="Y4" t="s">
        <v>124</v>
      </c>
    </row>
    <row r="5" spans="2:25" ht="18" customHeight="1">
      <c r="B5" s="242" t="s">
        <v>375</v>
      </c>
      <c r="C5" s="286" t="s">
        <v>341</v>
      </c>
      <c r="D5" s="28" t="s">
        <v>336</v>
      </c>
      <c r="E5" s="41">
        <f>IF(G5="","",2)</f>
      </c>
      <c r="F5" s="8"/>
      <c r="G5" s="78">
        <f>IF(Scoping!O18=1,"o","")</f>
      </c>
      <c r="H5" s="16">
        <f>IF(G5&lt;&gt;"",1,"")</f>
      </c>
      <c r="I5" s="16">
        <f>IF(N5&lt;&gt;"",1,"")</f>
      </c>
      <c r="J5" s="242" t="s">
        <v>381</v>
      </c>
      <c r="K5" s="105" t="s">
        <v>336</v>
      </c>
      <c r="L5" s="41">
        <f>IF(N5="","",2)</f>
      </c>
      <c r="M5" s="8"/>
      <c r="N5" s="79"/>
      <c r="O5" s="91">
        <v>1216</v>
      </c>
      <c r="P5" s="91">
        <f>IF($J$22&gt;(O6+(O5-O6)/2),IF($J$22&lt;(O5+(O4-O5)/2),O5,""),"")</f>
      </c>
      <c r="Q5" s="91">
        <f>IF(N5&lt;&gt;"",-1,"")</f>
      </c>
      <c r="R5">
        <f>IF(G5&lt;&gt;"",-1,"")</f>
      </c>
      <c r="S5">
        <v>2</v>
      </c>
      <c r="T5" t="s">
        <v>563</v>
      </c>
      <c r="U5" t="s">
        <v>113</v>
      </c>
      <c r="V5" t="s">
        <v>564</v>
      </c>
      <c r="W5" t="s">
        <v>121</v>
      </c>
      <c r="X5" t="s">
        <v>563</v>
      </c>
      <c r="Y5" t="s">
        <v>125</v>
      </c>
    </row>
    <row r="6" spans="2:25" ht="25.5">
      <c r="B6" s="281"/>
      <c r="C6" s="286"/>
      <c r="D6" s="28" t="s">
        <v>335</v>
      </c>
      <c r="E6" s="41">
        <f>IF(G6="","",2)</f>
      </c>
      <c r="F6" s="8" t="s">
        <v>355</v>
      </c>
      <c r="G6" s="78">
        <f>IF(Scoping!O18=2,"o","")</f>
      </c>
      <c r="H6" s="16">
        <f>IF(G6&lt;&gt;"",2,"")</f>
      </c>
      <c r="I6" s="16">
        <f>IF(N6&lt;&gt;"",2,"")</f>
      </c>
      <c r="J6" s="281"/>
      <c r="K6" s="105" t="s">
        <v>335</v>
      </c>
      <c r="L6" s="41">
        <f>IF(N6="","",2)</f>
      </c>
      <c r="M6" s="8" t="s">
        <v>344</v>
      </c>
      <c r="N6" s="79"/>
      <c r="O6" s="91">
        <v>1056</v>
      </c>
      <c r="P6" s="91">
        <f aca="true" t="shared" si="0" ref="P6:P30">IF($J$22&gt;(O7+(O6-O7)/2),IF($J$22&lt;(O6+(O5-O6)/2),O6,""),"")</f>
      </c>
      <c r="Q6" s="91"/>
      <c r="S6">
        <v>3</v>
      </c>
      <c r="T6" t="s">
        <v>564</v>
      </c>
      <c r="U6" t="s">
        <v>575</v>
      </c>
      <c r="V6" t="s">
        <v>566</v>
      </c>
      <c r="W6" t="s">
        <v>116</v>
      </c>
      <c r="X6" t="s">
        <v>564</v>
      </c>
      <c r="Y6" t="s">
        <v>126</v>
      </c>
    </row>
    <row r="7" spans="2:25" ht="23.25" customHeight="1">
      <c r="B7" s="281"/>
      <c r="C7" s="286"/>
      <c r="D7" s="28" t="s">
        <v>334</v>
      </c>
      <c r="E7" s="41">
        <f>IF(G7="","",2)</f>
      </c>
      <c r="F7" s="8"/>
      <c r="G7" s="78">
        <f>IF(Scoping!O18=3,"o","")</f>
      </c>
      <c r="H7" s="16">
        <f>IF(G7&lt;&gt;"",3,"")</f>
      </c>
      <c r="I7" s="16">
        <f>IF(N7&lt;&gt;"",3,"")</f>
      </c>
      <c r="J7" s="281"/>
      <c r="K7" s="105" t="s">
        <v>334</v>
      </c>
      <c r="L7" s="41">
        <f>IF(N7="","",2)</f>
      </c>
      <c r="M7" s="8" t="s">
        <v>345</v>
      </c>
      <c r="N7" s="79">
        <f>IF(Scoping!$N$26=1,"o","")</f>
      </c>
      <c r="O7" s="91">
        <v>920</v>
      </c>
      <c r="P7" s="91">
        <f t="shared" si="0"/>
      </c>
      <c r="Q7" s="91">
        <f>IF(N7&lt;&gt;"",1,"")</f>
      </c>
      <c r="R7">
        <f>IF(G7&lt;&gt;"",1,"")</f>
      </c>
      <c r="S7">
        <v>4</v>
      </c>
      <c r="T7" t="s">
        <v>565</v>
      </c>
      <c r="U7" t="s">
        <v>114</v>
      </c>
      <c r="V7" t="s">
        <v>567</v>
      </c>
      <c r="W7" t="s">
        <v>96</v>
      </c>
      <c r="X7" t="s">
        <v>565</v>
      </c>
      <c r="Y7" t="s">
        <v>103</v>
      </c>
    </row>
    <row r="8" spans="2:25" ht="51.75" customHeight="1">
      <c r="B8" s="242" t="s">
        <v>376</v>
      </c>
      <c r="C8" s="286"/>
      <c r="D8" s="28" t="s">
        <v>336</v>
      </c>
      <c r="E8" s="41">
        <f>IF(G8="","",4)</f>
      </c>
      <c r="F8" s="8"/>
      <c r="G8" s="78">
        <f>IF(Scoping!O18=4,"o","")</f>
      </c>
      <c r="H8" s="16">
        <f>IF(G8&lt;&gt;"",4,"")</f>
      </c>
      <c r="I8" s="16">
        <f>IF(N8&lt;&gt;"",4,"")</f>
      </c>
      <c r="J8" s="242" t="s">
        <v>382</v>
      </c>
      <c r="K8" s="105" t="s">
        <v>336</v>
      </c>
      <c r="L8" s="41">
        <f>IF(N8="","",4)</f>
      </c>
      <c r="M8" s="8" t="s">
        <v>346</v>
      </c>
      <c r="N8" s="79"/>
      <c r="O8" s="91">
        <v>800</v>
      </c>
      <c r="P8" s="91">
        <f t="shared" si="0"/>
      </c>
      <c r="Q8" s="91">
        <f>IF(N8&lt;&gt;"",-1,"")</f>
      </c>
      <c r="R8">
        <f>IF(G8&lt;&gt;"",-1,"")</f>
      </c>
      <c r="S8">
        <v>5</v>
      </c>
      <c r="T8" t="s">
        <v>566</v>
      </c>
      <c r="U8" t="s">
        <v>104</v>
      </c>
      <c r="V8" t="s">
        <v>569</v>
      </c>
      <c r="W8" t="s">
        <v>102</v>
      </c>
      <c r="X8" t="s">
        <v>566</v>
      </c>
      <c r="Y8" t="s">
        <v>127</v>
      </c>
    </row>
    <row r="9" spans="2:25" ht="127.5">
      <c r="B9" s="281"/>
      <c r="C9" s="286"/>
      <c r="D9" s="28" t="s">
        <v>335</v>
      </c>
      <c r="E9" s="41">
        <f>IF(G9="","",4)</f>
      </c>
      <c r="F9" s="8" t="s">
        <v>356</v>
      </c>
      <c r="G9" s="78">
        <f>IF(Scoping!O18=5,"o","")</f>
      </c>
      <c r="H9" s="16">
        <f>IF(G9&lt;&gt;"",5,"")</f>
      </c>
      <c r="I9" s="16">
        <f>IF(N9&lt;&gt;"",5,"")</f>
      </c>
      <c r="J9" s="281"/>
      <c r="K9" s="105" t="s">
        <v>335</v>
      </c>
      <c r="L9" s="41">
        <f>IF(N9="","",4)</f>
      </c>
      <c r="M9" s="8" t="s">
        <v>347</v>
      </c>
      <c r="N9" s="79">
        <f>IF(Scoping!$N$26=2,"o","")</f>
      </c>
      <c r="O9" s="91">
        <v>700</v>
      </c>
      <c r="P9" s="91">
        <f t="shared" si="0"/>
      </c>
      <c r="Q9" s="91"/>
      <c r="S9">
        <v>6</v>
      </c>
      <c r="T9" t="s">
        <v>567</v>
      </c>
      <c r="U9" t="s">
        <v>101</v>
      </c>
      <c r="V9" t="s">
        <v>570</v>
      </c>
      <c r="W9" t="s">
        <v>118</v>
      </c>
      <c r="X9" t="s">
        <v>567</v>
      </c>
      <c r="Y9" t="s">
        <v>128</v>
      </c>
    </row>
    <row r="10" spans="2:25" ht="48" customHeight="1">
      <c r="B10" s="281"/>
      <c r="C10" s="286"/>
      <c r="D10" s="28" t="s">
        <v>334</v>
      </c>
      <c r="E10" s="41">
        <f>IF(G10="","",4)</f>
      </c>
      <c r="F10" s="8" t="s">
        <v>357</v>
      </c>
      <c r="G10" s="78">
        <f>IF(Scoping!O18=6,"o","")</f>
      </c>
      <c r="H10" s="16">
        <f>IF(G10&lt;&gt;"",6,"")</f>
      </c>
      <c r="I10" s="16">
        <f>IF(N10&lt;&gt;"",6,"")</f>
      </c>
      <c r="J10" s="281"/>
      <c r="K10" s="105" t="s">
        <v>334</v>
      </c>
      <c r="L10" s="41">
        <f>IF(N10="","",4)</f>
      </c>
      <c r="M10" s="8" t="s">
        <v>348</v>
      </c>
      <c r="N10" s="79">
        <f>IF(Scoping!$N$26=3,"o","")</f>
      </c>
      <c r="O10" s="91">
        <v>608</v>
      </c>
      <c r="P10" s="91">
        <f t="shared" si="0"/>
      </c>
      <c r="Q10" s="91">
        <f>IF(N10&lt;&gt;"",1,"")</f>
      </c>
      <c r="R10">
        <f>IF(G10&lt;&gt;"",1,"")</f>
      </c>
      <c r="S10">
        <v>7</v>
      </c>
      <c r="T10" t="s">
        <v>568</v>
      </c>
      <c r="U10" t="s">
        <v>115</v>
      </c>
      <c r="V10" t="s">
        <v>580</v>
      </c>
      <c r="W10" t="s">
        <v>97</v>
      </c>
      <c r="X10" t="s">
        <v>568</v>
      </c>
      <c r="Y10" t="s">
        <v>129</v>
      </c>
    </row>
    <row r="11" spans="2:25" ht="55.5" customHeight="1">
      <c r="B11" s="242" t="s">
        <v>377</v>
      </c>
      <c r="C11" s="286"/>
      <c r="D11" s="28" t="s">
        <v>336</v>
      </c>
      <c r="E11" s="41">
        <f>IF(G11="","",6)</f>
      </c>
      <c r="F11" s="8" t="s">
        <v>358</v>
      </c>
      <c r="G11" s="78">
        <f>IF(Scoping!O18=7,"o","")</f>
      </c>
      <c r="H11" s="16">
        <f>IF(G11&lt;&gt;"",7,"")</f>
      </c>
      <c r="I11" s="16">
        <f>IF(N11&lt;&gt;"",7,"")</f>
      </c>
      <c r="J11" s="242" t="s">
        <v>383</v>
      </c>
      <c r="K11" s="105" t="s">
        <v>336</v>
      </c>
      <c r="L11" s="41">
        <f>IF(N11="","",6)</f>
      </c>
      <c r="M11" s="8" t="s">
        <v>349</v>
      </c>
      <c r="N11" s="79">
        <f>IF(Scoping!$N26=4,"o","")</f>
      </c>
      <c r="O11" s="91">
        <v>528</v>
      </c>
      <c r="P11" s="91">
        <f t="shared" si="0"/>
      </c>
      <c r="Q11" s="91">
        <f>IF(N11&lt;&gt;"",-1,"")</f>
      </c>
      <c r="R11">
        <f>IF(G11&lt;&gt;"",-1,"")</f>
      </c>
      <c r="S11">
        <v>8</v>
      </c>
      <c r="T11" t="s">
        <v>569</v>
      </c>
      <c r="U11" t="s">
        <v>116</v>
      </c>
      <c r="V11" t="s">
        <v>555</v>
      </c>
      <c r="W11" t="s">
        <v>120</v>
      </c>
      <c r="X11" t="s">
        <v>569</v>
      </c>
      <c r="Y11" t="s">
        <v>130</v>
      </c>
    </row>
    <row r="12" spans="2:25" ht="67.5" customHeight="1">
      <c r="B12" s="281"/>
      <c r="C12" s="286"/>
      <c r="D12" s="28" t="s">
        <v>335</v>
      </c>
      <c r="E12" s="41">
        <f>IF(G12="","",6)</f>
      </c>
      <c r="F12" s="8" t="s">
        <v>359</v>
      </c>
      <c r="G12" s="78">
        <f>IF(Scoping!O18=8,"o","")</f>
      </c>
      <c r="H12" s="16">
        <f>IF(G12&lt;&gt;"",8,"")</f>
      </c>
      <c r="I12" s="16">
        <f>IF(N12&lt;&gt;"",8,"")</f>
      </c>
      <c r="J12" s="281"/>
      <c r="K12" s="105" t="s">
        <v>335</v>
      </c>
      <c r="L12" s="41">
        <f>IF(N12="","",6)</f>
      </c>
      <c r="M12" s="8" t="s">
        <v>350</v>
      </c>
      <c r="N12" s="79">
        <f>IF(Scoping!$N$26=5,"o","")</f>
      </c>
      <c r="O12" s="91">
        <v>460</v>
      </c>
      <c r="P12" s="91">
        <f t="shared" si="0"/>
      </c>
      <c r="Q12" s="91"/>
      <c r="S12">
        <v>9</v>
      </c>
      <c r="T12" t="s">
        <v>570</v>
      </c>
      <c r="U12" t="s">
        <v>96</v>
      </c>
      <c r="V12" t="s">
        <v>560</v>
      </c>
      <c r="W12" t="s">
        <v>122</v>
      </c>
      <c r="X12" t="s">
        <v>570</v>
      </c>
      <c r="Y12" t="s">
        <v>131</v>
      </c>
    </row>
    <row r="13" spans="2:25" ht="44.25" customHeight="1">
      <c r="B13" s="281"/>
      <c r="C13" s="286"/>
      <c r="D13" s="28" t="s">
        <v>334</v>
      </c>
      <c r="E13" s="41">
        <f>IF(G13="","",6)</f>
      </c>
      <c r="F13" s="8" t="s">
        <v>360</v>
      </c>
      <c r="G13" s="78">
        <f>IF(Scoping!O18=9,"o","")</f>
      </c>
      <c r="H13" s="16">
        <f>IF(G13&lt;&gt;"",9,"")</f>
      </c>
      <c r="I13" s="16">
        <f>IF(N13&lt;&gt;"",9,"")</f>
      </c>
      <c r="J13" s="281"/>
      <c r="K13" s="105" t="s">
        <v>334</v>
      </c>
      <c r="L13" s="41">
        <f>IF(N13="","",6)</f>
      </c>
      <c r="M13" s="8" t="s">
        <v>351</v>
      </c>
      <c r="N13" s="79">
        <f>IF(Scoping!$N$26=6,"o","")</f>
      </c>
      <c r="O13" s="91">
        <v>400</v>
      </c>
      <c r="P13" s="91">
        <f t="shared" si="0"/>
      </c>
      <c r="Q13" s="91">
        <f>IF(N13&lt;&gt;"",1,"")</f>
      </c>
      <c r="R13">
        <f>IF(G13&lt;&gt;"",1,"")</f>
      </c>
      <c r="S13">
        <v>10</v>
      </c>
      <c r="T13" t="s">
        <v>554</v>
      </c>
      <c r="U13" t="s">
        <v>117</v>
      </c>
      <c r="V13" t="s">
        <v>557</v>
      </c>
      <c r="W13" t="s">
        <v>123</v>
      </c>
      <c r="X13" t="s">
        <v>554</v>
      </c>
      <c r="Y13" t="s">
        <v>132</v>
      </c>
    </row>
    <row r="14" spans="2:25" ht="25.5">
      <c r="B14" s="242" t="s">
        <v>378</v>
      </c>
      <c r="C14" s="286"/>
      <c r="D14" s="28" t="s">
        <v>336</v>
      </c>
      <c r="E14" s="41">
        <f>IF(G14="","",8)</f>
      </c>
      <c r="F14" s="8"/>
      <c r="G14" s="78">
        <f>IF(Scoping!O18=10,"o","")</f>
      </c>
      <c r="H14" s="16">
        <f>IF(G14&lt;&gt;"",10,"")</f>
      </c>
      <c r="I14" s="16">
        <f>IF(N14&lt;&gt;"",10,"")</f>
      </c>
      <c r="J14" s="242" t="s">
        <v>384</v>
      </c>
      <c r="K14" s="105" t="s">
        <v>336</v>
      </c>
      <c r="L14" s="41">
        <f>IF(N14="","",8)</f>
      </c>
      <c r="M14" s="8" t="s">
        <v>352</v>
      </c>
      <c r="N14" s="79">
        <f>IF(Scoping!$N$26=7,"o","")</f>
      </c>
      <c r="O14" s="91">
        <v>350</v>
      </c>
      <c r="P14" s="91">
        <f t="shared" si="0"/>
      </c>
      <c r="Q14" s="91">
        <f>IF(N14&lt;&gt;"",-1,"")</f>
      </c>
      <c r="R14">
        <f>IF(G14&lt;&gt;"",-1,"")</f>
      </c>
      <c r="S14">
        <v>11</v>
      </c>
      <c r="T14" t="s">
        <v>580</v>
      </c>
      <c r="U14" t="s">
        <v>102</v>
      </c>
      <c r="V14" t="s">
        <v>561</v>
      </c>
      <c r="X14" t="s">
        <v>580</v>
      </c>
      <c r="Y14" t="s">
        <v>133</v>
      </c>
    </row>
    <row r="15" spans="2:25" ht="24" customHeight="1">
      <c r="B15" s="281"/>
      <c r="C15" s="286"/>
      <c r="D15" s="28" t="s">
        <v>335</v>
      </c>
      <c r="E15" s="41">
        <f>IF(G15="","",8)</f>
      </c>
      <c r="F15" s="8"/>
      <c r="G15" s="78">
        <f>IF(Scoping!O18=11,"o","")</f>
      </c>
      <c r="H15" s="16">
        <f>IF(G15&lt;&gt;"",11,"")</f>
      </c>
      <c r="I15" s="16">
        <f>IF(N15&lt;&gt;"",11,"")</f>
      </c>
      <c r="J15" s="281"/>
      <c r="K15" s="105" t="s">
        <v>335</v>
      </c>
      <c r="L15" s="41">
        <f>IF(N15="","",8)</f>
      </c>
      <c r="M15" s="8" t="s">
        <v>353</v>
      </c>
      <c r="N15" s="79">
        <f>IF(Scoping!$N$26=8,"o","")</f>
      </c>
      <c r="O15" s="91">
        <v>304</v>
      </c>
      <c r="P15" s="91">
        <f t="shared" si="0"/>
      </c>
      <c r="Q15" s="91"/>
      <c r="S15">
        <v>12</v>
      </c>
      <c r="T15" t="s">
        <v>555</v>
      </c>
      <c r="U15" t="s">
        <v>118</v>
      </c>
      <c r="V15" t="s">
        <v>559</v>
      </c>
      <c r="X15" t="s">
        <v>555</v>
      </c>
      <c r="Y15" t="s">
        <v>134</v>
      </c>
    </row>
    <row r="16" spans="2:25" ht="32.25" customHeight="1">
      <c r="B16" s="281"/>
      <c r="C16" s="286" t="s">
        <v>342</v>
      </c>
      <c r="D16" s="28" t="s">
        <v>334</v>
      </c>
      <c r="E16" s="41">
        <f>IF(G16="","",8)</f>
      </c>
      <c r="F16" s="8"/>
      <c r="G16" s="78">
        <f>IF(Scoping!O18=12,"o","")</f>
      </c>
      <c r="H16" s="16">
        <f>IF(G16&lt;&gt;"",12,"")</f>
      </c>
      <c r="I16" s="16">
        <f>IF(N16&lt;&gt;"",12,"")</f>
      </c>
      <c r="J16" s="281"/>
      <c r="K16" s="105" t="s">
        <v>334</v>
      </c>
      <c r="L16" s="41">
        <f>IF(N16="","",8)</f>
      </c>
      <c r="M16" s="8"/>
      <c r="N16" s="79">
        <f>IF(Scoping!$N$26=9,"o","")</f>
      </c>
      <c r="O16" s="91">
        <v>264</v>
      </c>
      <c r="P16" s="91">
        <f t="shared" si="0"/>
      </c>
      <c r="Q16" s="91">
        <f>IF(N16&lt;&gt;"",1,"")</f>
      </c>
      <c r="R16">
        <f>IF(G16&lt;&gt;"",1,"")</f>
      </c>
      <c r="S16">
        <v>13</v>
      </c>
      <c r="T16" t="s">
        <v>556</v>
      </c>
      <c r="U16" t="s">
        <v>119</v>
      </c>
      <c r="V16" t="s">
        <v>107</v>
      </c>
      <c r="X16" t="s">
        <v>556</v>
      </c>
      <c r="Y16" t="s">
        <v>135</v>
      </c>
    </row>
    <row r="17" spans="2:25" ht="18" customHeight="1">
      <c r="B17" s="242" t="s">
        <v>54</v>
      </c>
      <c r="C17" s="286"/>
      <c r="D17" s="28" t="s">
        <v>336</v>
      </c>
      <c r="E17" s="41">
        <f>IF(G17="","",10)</f>
      </c>
      <c r="F17" s="8"/>
      <c r="G17" s="78">
        <f>IF(Scoping!O18=13,"o","")</f>
      </c>
      <c r="H17" s="16">
        <f>IF(G17&lt;&gt;"",13,"")</f>
      </c>
      <c r="I17" s="16">
        <f>IF(N17&lt;&gt;"",13,"")</f>
      </c>
      <c r="J17" s="242" t="s">
        <v>385</v>
      </c>
      <c r="K17" s="105" t="s">
        <v>336</v>
      </c>
      <c r="L17" s="41">
        <f>IF(N17="","",10)</f>
      </c>
      <c r="M17" s="8"/>
      <c r="N17" s="79"/>
      <c r="O17" s="91">
        <v>230</v>
      </c>
      <c r="P17" s="91">
        <f t="shared" si="0"/>
      </c>
      <c r="Q17" s="91">
        <f>IF(N17&lt;&gt;"",-1,"")</f>
      </c>
      <c r="R17">
        <f>IF(G17&lt;&gt;"",-1,"")</f>
      </c>
      <c r="S17">
        <v>14</v>
      </c>
      <c r="T17" t="s">
        <v>560</v>
      </c>
      <c r="U17" t="s">
        <v>97</v>
      </c>
      <c r="V17" t="s">
        <v>108</v>
      </c>
      <c r="X17" t="s">
        <v>560</v>
      </c>
      <c r="Y17" t="s">
        <v>136</v>
      </c>
    </row>
    <row r="18" spans="2:25" ht="25.5" customHeight="1">
      <c r="B18" s="281"/>
      <c r="C18" s="286"/>
      <c r="D18" s="28" t="s">
        <v>335</v>
      </c>
      <c r="E18" s="41">
        <f>IF(G18="","",10)</f>
      </c>
      <c r="F18" s="8"/>
      <c r="G18" s="78">
        <f>IF(Scoping!O18=14,"o","")</f>
      </c>
      <c r="H18" s="16">
        <f>IF(G18&lt;&gt;"",14,"")</f>
      </c>
      <c r="I18" s="16">
        <f>IF(N18&lt;&gt;"",14,"")</f>
      </c>
      <c r="J18" s="281"/>
      <c r="K18" s="105" t="s">
        <v>335</v>
      </c>
      <c r="L18" s="41">
        <f>IF(N18="","",10)</f>
      </c>
      <c r="M18" s="8" t="s">
        <v>354</v>
      </c>
      <c r="N18" s="79">
        <f>IF(Scoping!$N$26=10,"o","")</f>
      </c>
      <c r="O18" s="91">
        <v>200</v>
      </c>
      <c r="P18" s="91">
        <f t="shared" si="0"/>
      </c>
      <c r="Q18" s="91"/>
      <c r="S18">
        <v>15</v>
      </c>
      <c r="T18" t="s">
        <v>557</v>
      </c>
      <c r="U18" t="s">
        <v>120</v>
      </c>
      <c r="V18" t="s">
        <v>110</v>
      </c>
      <c r="X18" t="s">
        <v>557</v>
      </c>
      <c r="Y18" t="s">
        <v>137</v>
      </c>
    </row>
    <row r="19" spans="2:25" ht="40.5" customHeight="1" thickBot="1">
      <c r="B19" s="281"/>
      <c r="C19" s="286"/>
      <c r="D19" s="28" t="s">
        <v>334</v>
      </c>
      <c r="E19" s="41">
        <f>IF(G19="","",10)</f>
      </c>
      <c r="F19" s="8" t="s">
        <v>361</v>
      </c>
      <c r="G19" s="78">
        <f>IF(Scoping!O18=15,"o","")</f>
      </c>
      <c r="H19" s="16">
        <f>IF(G19&lt;&gt;"",15,"")</f>
      </c>
      <c r="I19" s="16">
        <f>IF(N19&lt;&gt;"",15,"")</f>
      </c>
      <c r="J19" s="282"/>
      <c r="K19" s="105" t="s">
        <v>334</v>
      </c>
      <c r="L19" s="41">
        <f>IF(N19="","",10)</f>
      </c>
      <c r="M19" s="8"/>
      <c r="N19" s="79"/>
      <c r="O19" s="91">
        <v>175</v>
      </c>
      <c r="P19" s="91">
        <f t="shared" si="0"/>
      </c>
      <c r="Q19" s="91">
        <f>IF(N19&lt;&gt;"",1,"")</f>
      </c>
      <c r="R19">
        <f>IF(G19&lt;&gt;"",1,"")</f>
      </c>
      <c r="S19">
        <v>16</v>
      </c>
      <c r="T19" t="s">
        <v>558</v>
      </c>
      <c r="V19" t="s">
        <v>111</v>
      </c>
      <c r="X19" t="s">
        <v>558</v>
      </c>
      <c r="Y19" t="s">
        <v>98</v>
      </c>
    </row>
    <row r="20" spans="2:25" ht="48.75" customHeight="1" thickBot="1" thickTop="1">
      <c r="B20" s="242" t="s">
        <v>380</v>
      </c>
      <c r="C20" s="286"/>
      <c r="D20" s="28" t="s">
        <v>336</v>
      </c>
      <c r="E20" s="41">
        <f>IF(G20="","",12)</f>
      </c>
      <c r="F20" s="8"/>
      <c r="G20" s="78">
        <f>IF(Scoping!O18=16,"o","")</f>
      </c>
      <c r="H20" s="16">
        <f>IF(G20&lt;&gt;"",16,"")</f>
      </c>
      <c r="I20" s="16"/>
      <c r="J20" s="108" t="s">
        <v>40</v>
      </c>
      <c r="K20" s="107">
        <f>IF(Scoping!N22=0,1,IF(Scoping!N22&lt;=3,1,IF(Scoping!N22&gt;=8,3,2)))</f>
        <v>1</v>
      </c>
      <c r="L20" s="77">
        <f>SUM(L5:L19)</f>
        <v>0</v>
      </c>
      <c r="M20" s="77" t="s">
        <v>339</v>
      </c>
      <c r="N20" s="21"/>
      <c r="O20" s="91">
        <v>152</v>
      </c>
      <c r="P20" s="91">
        <f t="shared" si="0"/>
      </c>
      <c r="Q20" s="91">
        <f>SUM(Q5:Q19)</f>
        <v>0</v>
      </c>
      <c r="R20">
        <f>IF(G20&lt;&gt;"",-1,"")</f>
      </c>
      <c r="S20">
        <v>17</v>
      </c>
      <c r="T20" t="s">
        <v>561</v>
      </c>
      <c r="X20" t="s">
        <v>561</v>
      </c>
      <c r="Y20" t="s">
        <v>138</v>
      </c>
    </row>
    <row r="21" spans="2:25" ht="18.75" thickTop="1">
      <c r="B21" s="281"/>
      <c r="C21" s="286"/>
      <c r="D21" s="28" t="s">
        <v>335</v>
      </c>
      <c r="E21" s="41">
        <f>IF(G21="","",12)</f>
      </c>
      <c r="F21" s="8"/>
      <c r="G21" s="78">
        <f>IF(Scoping!O18=17,"o","")</f>
      </c>
      <c r="H21" s="16">
        <f>IF(G21&lt;&gt;"",17,"")</f>
      </c>
      <c r="I21" s="16"/>
      <c r="J21" s="126" t="s">
        <v>524</v>
      </c>
      <c r="K21" s="289" t="s">
        <v>525</v>
      </c>
      <c r="L21" s="290"/>
      <c r="M21" s="52">
        <f>IF($E$29&gt;7,IF($L$20&lt;3,"Unusual Combination or not allowed",""),"")</f>
      </c>
      <c r="N21" s="21"/>
      <c r="O21" s="91">
        <v>132</v>
      </c>
      <c r="P21" s="91">
        <f t="shared" si="0"/>
      </c>
      <c r="S21">
        <v>18</v>
      </c>
      <c r="T21" t="s">
        <v>559</v>
      </c>
      <c r="X21" t="s">
        <v>559</v>
      </c>
      <c r="Y21" t="s">
        <v>139</v>
      </c>
    </row>
    <row r="22" spans="2:25" ht="24" thickBot="1">
      <c r="B22" s="281"/>
      <c r="C22" s="286" t="s">
        <v>343</v>
      </c>
      <c r="D22" s="28" t="s">
        <v>334</v>
      </c>
      <c r="E22" s="41">
        <f>IF(G22="","",12)</f>
      </c>
      <c r="F22" s="8"/>
      <c r="G22" s="78">
        <f>IF(Scoping!O18=18,"o","")</f>
      </c>
      <c r="H22" s="16">
        <f>IF(G22&lt;&gt;"",18,"")</f>
      </c>
      <c r="I22" s="16"/>
      <c r="J22" s="125">
        <f>38*(1.15)^(E29+L20+Q26-2)</f>
        <v>24.985616832415555</v>
      </c>
      <c r="K22" s="291">
        <f>P32</f>
        <v>0</v>
      </c>
      <c r="L22" s="292"/>
      <c r="M22" s="52">
        <f>IF($E$29&lt;9,IF($L$20&gt;5,"Unusual Combination or not allowed",""),"")</f>
      </c>
      <c r="N22" s="21"/>
      <c r="O22" s="91">
        <v>115</v>
      </c>
      <c r="P22" s="91">
        <f t="shared" si="0"/>
      </c>
      <c r="R22">
        <f>IF(G22&lt;&gt;"",1,"")</f>
      </c>
      <c r="S22">
        <v>19</v>
      </c>
      <c r="T22" t="s">
        <v>106</v>
      </c>
      <c r="X22" t="s">
        <v>106</v>
      </c>
      <c r="Y22" t="s">
        <v>140</v>
      </c>
    </row>
    <row r="23" spans="2:25" ht="39" customHeight="1" thickTop="1">
      <c r="B23" s="242" t="s">
        <v>379</v>
      </c>
      <c r="C23" s="286"/>
      <c r="D23" s="28" t="s">
        <v>336</v>
      </c>
      <c r="E23" s="41">
        <f>IF(G23="","",14)</f>
      </c>
      <c r="F23" s="8"/>
      <c r="G23" s="78">
        <f>IF(Scoping!O18=19,"o","")</f>
      </c>
      <c r="H23" s="16">
        <f>IF(G23&lt;&gt;"",19,"")</f>
      </c>
      <c r="I23" s="16"/>
      <c r="J23" s="295" t="s">
        <v>340</v>
      </c>
      <c r="K23" s="295"/>
      <c r="L23" s="295"/>
      <c r="M23" s="52">
        <f>IF($E$29&lt;11,IF($L$20&gt;7,"Unusual Combination or not allowed",""),"")</f>
      </c>
      <c r="N23" s="21"/>
      <c r="O23" s="91">
        <v>100</v>
      </c>
      <c r="P23" s="91">
        <f t="shared" si="0"/>
      </c>
      <c r="Q23">
        <f>IF(K20=3,1,IF(K20=2,0,IF(K20=1,(-1),"")))</f>
        <v>-1</v>
      </c>
      <c r="R23">
        <f>IF(G23&lt;&gt;"",-1,"")</f>
      </c>
      <c r="S23">
        <v>20</v>
      </c>
      <c r="T23" t="s">
        <v>107</v>
      </c>
      <c r="X23" t="s">
        <v>107</v>
      </c>
      <c r="Y23" t="s">
        <v>141</v>
      </c>
    </row>
    <row r="24" spans="2:25" ht="30.75" customHeight="1" thickBot="1">
      <c r="B24" s="281"/>
      <c r="C24" s="286"/>
      <c r="D24" s="28" t="s">
        <v>335</v>
      </c>
      <c r="E24" s="41">
        <f>IF(G24="","",14)</f>
      </c>
      <c r="F24" s="8"/>
      <c r="G24" s="78">
        <f>IF(Scoping!O18=20,"o","")</f>
      </c>
      <c r="H24" s="16">
        <f>IF(G24&lt;&gt;"",20,"")</f>
      </c>
      <c r="I24" s="16"/>
      <c r="J24" s="288" t="s">
        <v>572</v>
      </c>
      <c r="K24" s="288"/>
      <c r="L24" s="288"/>
      <c r="M24" s="52">
        <f>IF($E$29&gt;15,IF($L$20&gt;9,"Unusual Combination or not allowed",""),"")</f>
      </c>
      <c r="N24" s="21"/>
      <c r="O24" s="91">
        <v>87</v>
      </c>
      <c r="P24" s="91">
        <f t="shared" si="0"/>
      </c>
      <c r="Q24">
        <f>Q20+R29</f>
        <v>0</v>
      </c>
      <c r="S24">
        <v>21</v>
      </c>
      <c r="T24" t="s">
        <v>108</v>
      </c>
      <c r="X24" t="s">
        <v>108</v>
      </c>
      <c r="Y24" t="s">
        <v>142</v>
      </c>
    </row>
    <row r="25" spans="2:20" ht="21.75" thickBot="1" thickTop="1">
      <c r="B25" s="281"/>
      <c r="C25" s="286"/>
      <c r="D25" s="28" t="s">
        <v>334</v>
      </c>
      <c r="E25" s="41">
        <f>IF(G25="","",14)</f>
      </c>
      <c r="F25" s="8"/>
      <c r="G25" s="78">
        <f>IF(Scoping!O18=21,"o","")</f>
      </c>
      <c r="H25" s="16">
        <f>IF(G25&lt;&gt;"",21,"")</f>
      </c>
      <c r="I25" s="16"/>
      <c r="J25" s="196" t="e">
        <f>VLOOKUP(H29,Indexes,2)</f>
        <v>#N/A</v>
      </c>
      <c r="K25" s="8"/>
      <c r="L25" s="8"/>
      <c r="M25" s="52"/>
      <c r="N25" s="21"/>
      <c r="O25" s="91">
        <v>76</v>
      </c>
      <c r="P25" s="91">
        <f t="shared" si="0"/>
      </c>
      <c r="Q25">
        <f>IF(Q24=(-2),-1,IF(Q24=2,1,Q24))</f>
        <v>0</v>
      </c>
      <c r="R25">
        <f>IF(G25&lt;&gt;"",1,"")</f>
      </c>
      <c r="S25">
        <v>22</v>
      </c>
      <c r="T25" t="s">
        <v>109</v>
      </c>
    </row>
    <row r="26" spans="2:20" ht="32.25" customHeight="1" thickBot="1" thickTop="1">
      <c r="B26" s="242" t="s">
        <v>55</v>
      </c>
      <c r="C26" s="286"/>
      <c r="D26" s="28" t="s">
        <v>336</v>
      </c>
      <c r="E26" s="41">
        <f>IF(G26="","",16)</f>
      </c>
      <c r="F26" s="8"/>
      <c r="G26" s="78">
        <f>IF(Scoping!O18=22,"o","")</f>
      </c>
      <c r="H26" s="16">
        <f>IF(G26&lt;&gt;"",22,"")</f>
      </c>
      <c r="I26" s="16"/>
      <c r="J26" s="288" t="s">
        <v>573</v>
      </c>
      <c r="K26" s="288"/>
      <c r="L26" s="288"/>
      <c r="M26" s="20"/>
      <c r="N26" s="21"/>
      <c r="O26" s="91">
        <v>66</v>
      </c>
      <c r="P26" s="91">
        <f t="shared" si="0"/>
      </c>
      <c r="Q26">
        <f>Q23+Q25</f>
        <v>-1</v>
      </c>
      <c r="R26">
        <f>IF(G26&lt;&gt;"",-1,"")</f>
      </c>
      <c r="S26">
        <v>23</v>
      </c>
      <c r="T26" t="s">
        <v>110</v>
      </c>
    </row>
    <row r="27" spans="2:20" ht="21.75" thickBot="1" thickTop="1">
      <c r="B27" s="281"/>
      <c r="C27" s="286"/>
      <c r="D27" s="28" t="s">
        <v>335</v>
      </c>
      <c r="E27" s="41">
        <f>IF(G27="","",16)</f>
      </c>
      <c r="F27" s="8"/>
      <c r="G27" s="78">
        <f>IF(Scoping!O18=23,"o","")</f>
      </c>
      <c r="H27" s="16">
        <f>IF(G27&lt;&gt;"",23,"")</f>
      </c>
      <c r="I27" s="16"/>
      <c r="J27" s="196" t="e">
        <f>VLOOKUP(I29,Indexes,3)</f>
        <v>#N/A</v>
      </c>
      <c r="K27" s="239">
        <f>K20</f>
        <v>1</v>
      </c>
      <c r="L27" s="240"/>
      <c r="M27" s="52"/>
      <c r="N27" s="21"/>
      <c r="O27" s="91">
        <v>57</v>
      </c>
      <c r="P27" s="91">
        <f t="shared" si="0"/>
      </c>
      <c r="S27">
        <v>24</v>
      </c>
      <c r="T27" t="s">
        <v>111</v>
      </c>
    </row>
    <row r="28" spans="2:18" ht="18.75" thickTop="1">
      <c r="B28" s="281"/>
      <c r="C28" s="286"/>
      <c r="D28" s="28" t="s">
        <v>334</v>
      </c>
      <c r="E28" s="41">
        <f>IF(G28="","",16)</f>
      </c>
      <c r="F28" s="8"/>
      <c r="G28" s="78">
        <f>IF(Scoping!O18=24,"o","")</f>
      </c>
      <c r="H28" s="16">
        <f>IF(G28&lt;&gt;"",24,"")</f>
      </c>
      <c r="I28" s="16"/>
      <c r="J28" s="19"/>
      <c r="K28" s="20"/>
      <c r="L28" s="20"/>
      <c r="M28" s="20"/>
      <c r="N28" s="21"/>
      <c r="O28" s="91">
        <v>50</v>
      </c>
      <c r="P28" s="91">
        <f t="shared" si="0"/>
      </c>
      <c r="R28">
        <f>IF(G28&lt;&gt;"",1,"")</f>
      </c>
    </row>
    <row r="29" spans="2:18" ht="15">
      <c r="B29" s="17"/>
      <c r="C29" s="18"/>
      <c r="D29" s="8"/>
      <c r="E29" s="143">
        <f>SUM(E5:E28)</f>
        <v>0</v>
      </c>
      <c r="F29" s="77" t="s">
        <v>338</v>
      </c>
      <c r="G29" s="8"/>
      <c r="H29" s="16">
        <f>SUM(H5:H28)</f>
        <v>0</v>
      </c>
      <c r="I29" s="16">
        <f>SUM(I5:I28)</f>
        <v>0</v>
      </c>
      <c r="J29" s="19"/>
      <c r="K29" s="20"/>
      <c r="L29" s="20"/>
      <c r="M29" s="20"/>
      <c r="N29" s="21"/>
      <c r="O29" s="91">
        <v>43</v>
      </c>
      <c r="P29" s="91">
        <f t="shared" si="0"/>
      </c>
      <c r="R29">
        <f>SUM(R5:R28)</f>
        <v>0</v>
      </c>
    </row>
    <row r="30" spans="2:16" ht="15">
      <c r="B30" s="17"/>
      <c r="C30" s="18"/>
      <c r="D30" s="20"/>
      <c r="E30" s="20"/>
      <c r="F30" s="20"/>
      <c r="G30" s="20"/>
      <c r="H30" s="16"/>
      <c r="I30" s="16"/>
      <c r="J30" s="19"/>
      <c r="K30" s="20"/>
      <c r="L30" s="20"/>
      <c r="M30" s="20"/>
      <c r="N30" s="235" t="s">
        <v>220</v>
      </c>
      <c r="O30" s="91">
        <v>38</v>
      </c>
      <c r="P30" s="91">
        <f t="shared" si="0"/>
      </c>
    </row>
    <row r="31" spans="2:15" ht="15.75" thickBot="1">
      <c r="B31" s="23"/>
      <c r="C31" s="24"/>
      <c r="D31" s="25"/>
      <c r="E31" s="25"/>
      <c r="F31" s="25"/>
      <c r="G31" s="25"/>
      <c r="H31" s="25"/>
      <c r="I31" s="25"/>
      <c r="J31" s="26"/>
      <c r="K31" s="25"/>
      <c r="L31" s="25"/>
      <c r="M31" s="25"/>
      <c r="N31" s="27"/>
      <c r="O31" s="91">
        <v>33</v>
      </c>
    </row>
    <row r="32" spans="15:16" ht="15.75" thickTop="1">
      <c r="O32" t="s">
        <v>527</v>
      </c>
      <c r="P32" s="91">
        <f>SUM(P4:P31)</f>
        <v>0</v>
      </c>
    </row>
    <row r="33" spans="2:7" ht="34.5" customHeight="1" hidden="1">
      <c r="B33" s="285" t="s">
        <v>571</v>
      </c>
      <c r="C33" s="285"/>
      <c r="D33" s="285"/>
      <c r="E33" s="285"/>
      <c r="F33" s="285"/>
      <c r="G33" s="285"/>
    </row>
    <row r="34" spans="2:7" ht="24" customHeight="1" hidden="1">
      <c r="B34" s="241" t="s">
        <v>490</v>
      </c>
      <c r="C34" s="241"/>
      <c r="D34" s="241"/>
      <c r="E34" s="241"/>
      <c r="F34" s="241"/>
      <c r="G34" s="241"/>
    </row>
    <row r="35" spans="1:6" ht="15" hidden="1">
      <c r="A35" t="s">
        <v>562</v>
      </c>
      <c r="B35" s="12" t="e">
        <f aca="true" t="shared" si="1" ref="B35:B40">IF($J$25=A35,IF($J$27="0=","Combination Sound",IF($J$27="0+","Combination Sound",IF($J$27="I-","Combination Sound",""))),"")</f>
        <v>#N/A</v>
      </c>
      <c r="F35" t="e">
        <f>B35</f>
        <v>#N/A</v>
      </c>
    </row>
    <row r="36" spans="1:6" ht="15" hidden="1">
      <c r="A36" t="s">
        <v>563</v>
      </c>
      <c r="B36" s="12" t="e">
        <f t="shared" si="1"/>
        <v>#N/A</v>
      </c>
      <c r="F36" t="e">
        <f aca="true" t="shared" si="2" ref="F36:F51">IF(B36="",F35,B36)</f>
        <v>#N/A</v>
      </c>
    </row>
    <row r="37" spans="1:6" ht="15" hidden="1">
      <c r="A37" t="s">
        <v>564</v>
      </c>
      <c r="B37" s="12" t="e">
        <f t="shared" si="1"/>
        <v>#N/A</v>
      </c>
      <c r="F37" t="e">
        <f t="shared" si="2"/>
        <v>#N/A</v>
      </c>
    </row>
    <row r="38" spans="1:6" ht="15" hidden="1">
      <c r="A38" t="s">
        <v>565</v>
      </c>
      <c r="B38" s="12" t="e">
        <f t="shared" si="1"/>
        <v>#N/A</v>
      </c>
      <c r="F38" t="e">
        <f t="shared" si="2"/>
        <v>#N/A</v>
      </c>
    </row>
    <row r="39" spans="1:6" ht="15" hidden="1">
      <c r="A39" t="s">
        <v>566</v>
      </c>
      <c r="B39" s="12" t="e">
        <f t="shared" si="1"/>
        <v>#N/A</v>
      </c>
      <c r="F39" t="e">
        <f t="shared" si="2"/>
        <v>#N/A</v>
      </c>
    </row>
    <row r="40" spans="1:6" ht="15" hidden="1">
      <c r="A40" t="s">
        <v>567</v>
      </c>
      <c r="B40" s="12" t="e">
        <f t="shared" si="1"/>
        <v>#N/A</v>
      </c>
      <c r="F40" t="e">
        <f t="shared" si="2"/>
        <v>#N/A</v>
      </c>
    </row>
    <row r="41" spans="1:6" ht="15" hidden="1">
      <c r="A41" t="s">
        <v>568</v>
      </c>
      <c r="B41" s="12" t="e">
        <f>IF($J$25=A41,IF($J$27="0+","Combination Sound",IF($J$27="I-","Combination Sound",IF($J$27="I=","Combination Sound",""))),"")</f>
        <v>#N/A</v>
      </c>
      <c r="F41" t="e">
        <f t="shared" si="2"/>
        <v>#N/A</v>
      </c>
    </row>
    <row r="42" spans="1:6" ht="15" hidden="1">
      <c r="A42" t="s">
        <v>569</v>
      </c>
      <c r="B42" s="12" t="e">
        <f>IF($J$25=A42,IF($J$27="0+","Combination Sound",IF($J$27="I-","Combination Sound",IF($J$27="I=","Combination Sound",""))),"")</f>
        <v>#N/A</v>
      </c>
      <c r="F42" t="e">
        <f t="shared" si="2"/>
        <v>#N/A</v>
      </c>
    </row>
    <row r="43" spans="1:6" ht="15" hidden="1">
      <c r="A43" t="s">
        <v>570</v>
      </c>
      <c r="B43" s="12" t="e">
        <f>IF($J$25=A43,IF($J$27="0+","Combination Sound",IF($J$27="I-","Combination Sound",IF($J$27="I=","Combination Sound",""))),"")</f>
        <v>#N/A</v>
      </c>
      <c r="F43" t="e">
        <f t="shared" si="2"/>
        <v>#N/A</v>
      </c>
    </row>
    <row r="44" spans="1:6" ht="15" hidden="1">
      <c r="A44" t="s">
        <v>554</v>
      </c>
      <c r="B44" s="12" t="e">
        <f>IF($J$25=A44,IF($J$27="I-","Combination Sound",IF($J$27="I=","Combination Sound","")),"")</f>
        <v>#N/A</v>
      </c>
      <c r="F44" t="e">
        <f t="shared" si="2"/>
        <v>#N/A</v>
      </c>
    </row>
    <row r="45" spans="1:6" ht="15" hidden="1">
      <c r="A45" t="s">
        <v>580</v>
      </c>
      <c r="B45" s="12" t="e">
        <f>IF($J$25=A45,IF($J$27="I=","Combination Sound",""),"")</f>
        <v>#N/A</v>
      </c>
      <c r="F45" t="e">
        <f t="shared" si="2"/>
        <v>#N/A</v>
      </c>
    </row>
    <row r="46" spans="1:6" ht="15" hidden="1">
      <c r="A46" t="s">
        <v>555</v>
      </c>
      <c r="B46" s="12" t="e">
        <f>IF($J$25=A46,IF($J$27="I=","Combination Sound",IF($J$27="I+","Use with Caution","")),"")</f>
        <v>#N/A</v>
      </c>
      <c r="F46" t="e">
        <f t="shared" si="2"/>
        <v>#N/A</v>
      </c>
    </row>
    <row r="47" spans="1:6" ht="15" hidden="1">
      <c r="A47" t="s">
        <v>556</v>
      </c>
      <c r="B47" s="12" t="e">
        <f>IF($J$25=A47,IF($J$27="I=","Combination Sound",IF($J$27="I+","Combination Sound","")),"")</f>
        <v>#N/A</v>
      </c>
      <c r="F47" t="e">
        <f t="shared" si="2"/>
        <v>#N/A</v>
      </c>
    </row>
    <row r="48" spans="1:6" ht="15" hidden="1">
      <c r="A48" t="s">
        <v>560</v>
      </c>
      <c r="B48" s="12" t="e">
        <f>IF($J$25=A48,IF($J$27="I=","Combination Sound",IF($J$27="I+","Combination Sound",IF($J$27="II-","Use with Caution",""))),"")</f>
        <v>#N/A</v>
      </c>
      <c r="F48" t="e">
        <f t="shared" si="2"/>
        <v>#N/A</v>
      </c>
    </row>
    <row r="49" spans="1:6" ht="15" hidden="1">
      <c r="A49" t="s">
        <v>557</v>
      </c>
      <c r="B49" s="12" t="e">
        <f>IF($J$25=A49,IF($J$27="I=","Combination Sound",IF($J$27="I+","Combination Sound",IF($J$27="II-","Combination Sound",IF($J$27="II=","Use with Caution","")))),"")</f>
        <v>#N/A</v>
      </c>
      <c r="F49" t="e">
        <f t="shared" si="2"/>
        <v>#N/A</v>
      </c>
    </row>
    <row r="50" spans="1:6" ht="15" hidden="1">
      <c r="A50" t="s">
        <v>558</v>
      </c>
      <c r="B50" s="12" t="e">
        <f>IF($J$25=A50,IF($J$27="I=","Combination Sound",IF($J$27="I+","Combination Sound",IF($J$27="II-","Use with Caution",IF($J$27="II=","Combination Sound",IF($J$27="II+","Combination Sound",""))))),"")</f>
        <v>#N/A</v>
      </c>
      <c r="F50" t="e">
        <f t="shared" si="2"/>
        <v>#N/A</v>
      </c>
    </row>
    <row r="51" spans="1:6" ht="15" hidden="1">
      <c r="A51" t="s">
        <v>561</v>
      </c>
      <c r="B51" s="12" t="e">
        <f>IF($J$25=A51,IF($J$27="I=","Combination Sound",IF($J$27="I+","Combination Sound",IF($J$27="II-","Use with Caution",IF($J$27="II=","Combination Sound",IF($J$27="II+","Combination Sound",IF($J$27="III-","Combination Sound","")))))),"")</f>
        <v>#N/A</v>
      </c>
      <c r="F51" t="e">
        <f t="shared" si="2"/>
        <v>#N/A</v>
      </c>
    </row>
    <row r="52" spans="1:6" ht="15" hidden="1">
      <c r="A52" t="s">
        <v>559</v>
      </c>
      <c r="B52" s="12" t="e">
        <f>IF($J$25=A52,IF($J$27="I=","Combination Sound",IF($J$27="I+","Combination Sound",IF($J$27="II-","Use with Caution",IF($J$27="II=","Combination Sound",IF($J$27="II+","Combination Sound",IF($J$27="III-","Combination Sound",IF($J$27="III=","Combination Sound",""))))))),"")</f>
        <v>#N/A</v>
      </c>
      <c r="F52" t="e">
        <f>IF(B52="",F51,B52)</f>
        <v>#N/A</v>
      </c>
    </row>
    <row r="53" ht="15" hidden="1"/>
  </sheetData>
  <sheetProtection password="CA99" sheet="1" objects="1" scenarios="1" selectLockedCells="1"/>
  <mergeCells count="30">
    <mergeCell ref="S3:Y3"/>
    <mergeCell ref="J24:L24"/>
    <mergeCell ref="J26:L26"/>
    <mergeCell ref="J14:J16"/>
    <mergeCell ref="K21:L21"/>
    <mergeCell ref="K22:L22"/>
    <mergeCell ref="J3:N3"/>
    <mergeCell ref="K4:L4"/>
    <mergeCell ref="J8:J10"/>
    <mergeCell ref="J23:L23"/>
    <mergeCell ref="J11:J13"/>
    <mergeCell ref="J17:J19"/>
    <mergeCell ref="B3:G3"/>
    <mergeCell ref="B33:G33"/>
    <mergeCell ref="C5:C15"/>
    <mergeCell ref="C22:C28"/>
    <mergeCell ref="C16:C21"/>
    <mergeCell ref="D4:E4"/>
    <mergeCell ref="B8:B10"/>
    <mergeCell ref="B5:B7"/>
    <mergeCell ref="B2:M2"/>
    <mergeCell ref="K27:L27"/>
    <mergeCell ref="B34:G34"/>
    <mergeCell ref="B26:B28"/>
    <mergeCell ref="B14:B16"/>
    <mergeCell ref="B17:B19"/>
    <mergeCell ref="B20:B22"/>
    <mergeCell ref="B23:B25"/>
    <mergeCell ref="B11:B13"/>
    <mergeCell ref="J5:J7"/>
  </mergeCells>
  <conditionalFormatting sqref="J5:N7">
    <cfRule type="expression" priority="1" dxfId="1" stopIfTrue="1">
      <formula>$E$29&gt;6</formula>
    </cfRule>
  </conditionalFormatting>
  <conditionalFormatting sqref="J11:N13">
    <cfRule type="expression" priority="2" dxfId="2" stopIfTrue="1">
      <formula>$E$29&lt;10</formula>
    </cfRule>
  </conditionalFormatting>
  <conditionalFormatting sqref="J14:N16">
    <cfRule type="expression" priority="3" dxfId="1" stopIfTrue="1">
      <formula>$E$29&lt;12</formula>
    </cfRule>
  </conditionalFormatting>
  <conditionalFormatting sqref="J17:L19 M17:M18 N17:N19">
    <cfRule type="expression" priority="4" dxfId="1" stopIfTrue="1">
      <formula>$E$29&lt;12</formula>
    </cfRule>
    <cfRule type="expression" priority="5" dxfId="1" stopIfTrue="1">
      <formula>$E$29&gt;14</formula>
    </cfRule>
  </conditionalFormatting>
  <conditionalFormatting sqref="M19">
    <cfRule type="expression" priority="6" dxfId="1" stopIfTrue="1">
      <formula>$E$29&lt;12</formula>
    </cfRule>
    <cfRule type="expression" priority="7" dxfId="1" stopIfTrue="1">
      <formula>$E$29&gt;14</formula>
    </cfRule>
  </conditionalFormatting>
  <hyperlinks>
    <hyperlink ref="N30" location="Problem!F4" display="Next Step"/>
  </hyperlinks>
  <printOptions gridLines="1"/>
  <pageMargins left="0.75" right="0.75" top="1" bottom="1" header="0.5" footer="0.5"/>
  <pageSetup fitToHeight="1" fitToWidth="1" horizontalDpi="300" verticalDpi="300" orientation="portrait" paperSize="9" scale="65" r:id="rId3"/>
  <headerFooter alignWithMargins="0">
    <oddHeader>&amp;CKNOW-HOW DETERMINATION</oddHeader>
    <oddFooter>&amp;L&amp;D&amp;CPage 4</oddFooter>
  </headerFooter>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Y51"/>
  <sheetViews>
    <sheetView zoomScale="75" zoomScaleNormal="75" workbookViewId="0" topLeftCell="A1">
      <selection activeCell="F4" sqref="F4"/>
    </sheetView>
  </sheetViews>
  <sheetFormatPr defaultColWidth="9.140625" defaultRowHeight="12.75"/>
  <cols>
    <col min="1" max="1" width="3.421875" style="0" customWidth="1"/>
    <col min="2" max="2" width="11.140625" style="0" customWidth="1"/>
    <col min="3" max="3" width="3.421875" style="0" customWidth="1"/>
    <col min="4" max="4" width="3.8515625" style="0" customWidth="1"/>
    <col min="5" max="5" width="29.140625" style="0" customWidth="1"/>
    <col min="6" max="6" width="11.28125" style="0" customWidth="1"/>
    <col min="7" max="9" width="1.28515625" style="0" customWidth="1"/>
    <col min="10" max="10" width="12.140625" style="0" customWidth="1"/>
    <col min="11" max="11" width="3.421875" style="0" customWidth="1"/>
    <col min="12" max="12" width="3.00390625" style="0" customWidth="1"/>
    <col min="13" max="13" width="24.421875" style="0" customWidth="1"/>
    <col min="14" max="14" width="15.00390625" style="0" customWidth="1"/>
    <col min="15" max="15" width="1.57421875" style="0" customWidth="1"/>
    <col min="16" max="16" width="3.8515625" style="0" customWidth="1"/>
    <col min="17" max="17" width="3.57421875" style="0" customWidth="1"/>
    <col min="18" max="18" width="65.28125" style="0" customWidth="1"/>
    <col min="19" max="19" width="7.421875" style="0" customWidth="1"/>
    <col min="20" max="22" width="9.140625" style="0" hidden="1" customWidth="1"/>
  </cols>
  <sheetData>
    <row r="1" spans="2:23" ht="99.75" customHeight="1" thickTop="1">
      <c r="B1" s="251" t="s">
        <v>92</v>
      </c>
      <c r="C1" s="238"/>
      <c r="D1" s="238"/>
      <c r="E1" s="238"/>
      <c r="F1" s="238"/>
      <c r="G1" s="238"/>
      <c r="H1" s="238"/>
      <c r="I1" s="238"/>
      <c r="J1" s="238"/>
      <c r="K1" s="238"/>
      <c r="L1" s="238"/>
      <c r="M1" s="238"/>
      <c r="N1" s="14"/>
      <c r="O1" s="14"/>
      <c r="P1" s="14"/>
      <c r="Q1" s="34"/>
      <c r="R1" s="14"/>
      <c r="S1" s="15"/>
      <c r="T1" s="91" t="s">
        <v>530</v>
      </c>
      <c r="U1" s="91"/>
      <c r="V1" s="91" t="s">
        <v>531</v>
      </c>
      <c r="W1" s="91"/>
    </row>
    <row r="2" spans="2:23" ht="35.25" customHeight="1">
      <c r="B2" s="283" t="s">
        <v>411</v>
      </c>
      <c r="C2" s="284"/>
      <c r="D2" s="284"/>
      <c r="E2" s="284"/>
      <c r="F2" s="284"/>
      <c r="G2" s="20"/>
      <c r="H2" s="20"/>
      <c r="I2" s="20"/>
      <c r="J2" s="284" t="s">
        <v>412</v>
      </c>
      <c r="K2" s="284"/>
      <c r="L2" s="284"/>
      <c r="M2" s="284"/>
      <c r="N2" s="284"/>
      <c r="O2" s="20"/>
      <c r="P2" s="284" t="s">
        <v>413</v>
      </c>
      <c r="Q2" s="284"/>
      <c r="R2" s="284"/>
      <c r="S2" s="297"/>
      <c r="T2" s="99">
        <v>1</v>
      </c>
      <c r="U2" s="91">
        <f>IF($M$17&gt;(T3+(T2-T3)/2),T2,"")</f>
      </c>
      <c r="V2" s="91">
        <v>2432</v>
      </c>
      <c r="W2" s="91"/>
    </row>
    <row r="3" spans="2:25" ht="18">
      <c r="B3" s="197">
        <f>Knowhow!H29</f>
        <v>0</v>
      </c>
      <c r="C3" s="287" t="s">
        <v>337</v>
      </c>
      <c r="D3" s="287"/>
      <c r="E3" s="22" t="s">
        <v>327</v>
      </c>
      <c r="F3" s="36" t="s">
        <v>328</v>
      </c>
      <c r="G3" s="20"/>
      <c r="H3" s="16"/>
      <c r="I3" s="16"/>
      <c r="J3" s="20"/>
      <c r="K3" s="287" t="s">
        <v>337</v>
      </c>
      <c r="L3" s="287"/>
      <c r="M3" s="22" t="s">
        <v>327</v>
      </c>
      <c r="N3" s="36" t="s">
        <v>328</v>
      </c>
      <c r="O3" s="16"/>
      <c r="P3" s="300" t="s">
        <v>414</v>
      </c>
      <c r="Q3" s="300"/>
      <c r="R3" s="300"/>
      <c r="S3" s="62"/>
      <c r="T3" s="99">
        <v>0.87</v>
      </c>
      <c r="U3" s="91">
        <f>IF($M$17&gt;(T4+(T3-T4)/2),IF($M$17&lt;(T3+(T2-T3)/2),T3,""),"")</f>
      </c>
      <c r="V3" s="91">
        <v>2112</v>
      </c>
      <c r="W3" s="91">
        <f>IF($N$17&gt;(V4+(V3-V4)/2),IF($N$17&lt;(V3+(V2-V3)/2),V3,""),"")</f>
      </c>
      <c r="Y3" s="31"/>
    </row>
    <row r="4" spans="2:25" ht="76.5">
      <c r="B4" s="296" t="s">
        <v>366</v>
      </c>
      <c r="C4" s="176" t="s">
        <v>335</v>
      </c>
      <c r="D4" s="177">
        <f>IF(F4="","",1)</f>
      </c>
      <c r="E4" s="178" t="s">
        <v>388</v>
      </c>
      <c r="F4" s="179">
        <f>IF(Scoping!O34=1,"o","")</f>
      </c>
      <c r="G4" s="106"/>
      <c r="H4" s="16">
        <f>IF(F4&lt;&gt;"",1,"")</f>
      </c>
      <c r="I4" s="16">
        <f>IF(N4&lt;&gt;"",1,"")</f>
      </c>
      <c r="J4" s="298" t="s">
        <v>370</v>
      </c>
      <c r="K4" s="42" t="s">
        <v>335</v>
      </c>
      <c r="L4" s="41">
        <f>IF(N4="","",1)</f>
      </c>
      <c r="M4" s="37" t="s">
        <v>400</v>
      </c>
      <c r="N4" s="80">
        <f>IF(Scoping!O42=1,"o","")</f>
      </c>
      <c r="O4" s="16"/>
      <c r="P4" s="300"/>
      <c r="Q4" s="300"/>
      <c r="R4" s="300"/>
      <c r="S4" s="62" t="s">
        <v>591</v>
      </c>
      <c r="T4" s="99">
        <v>0.76</v>
      </c>
      <c r="U4" s="91">
        <f aca="true" t="shared" si="0" ref="U4:U18">IF($M$17&gt;(T5+(T4-T5)/2),IF($M$17&lt;(T4+(T3-T4)/2),T4,""),"")</f>
      </c>
      <c r="V4" s="91">
        <v>1840</v>
      </c>
      <c r="W4" s="91">
        <f aca="true" t="shared" si="1" ref="W4:W49">IF($N$17&gt;(V5+(V4-V5)/2),IF($N$17&lt;(V4+(V3-V4)/2),V4,""),"")</f>
      </c>
      <c r="Y4" s="31"/>
    </row>
    <row r="5" spans="2:25" ht="52.5" customHeight="1">
      <c r="B5" s="296"/>
      <c r="C5" s="176" t="s">
        <v>334</v>
      </c>
      <c r="D5" s="177">
        <f>IF(F5="","",2)</f>
      </c>
      <c r="E5" s="178" t="s">
        <v>389</v>
      </c>
      <c r="F5" s="179">
        <f>IF(Scoping!O34=2,"o","")</f>
      </c>
      <c r="G5" s="106">
        <f>IF(F5&lt;&gt;"",IF($N$5&lt;&gt;"",1,IF($N$7&lt;&gt;"",1,IF($N$9&lt;&gt;"",1,IF($N$11&lt;&gt;"",1,IF($N$13&lt;&gt;"",1,""))))),"")</f>
      </c>
      <c r="H5" s="16">
        <f>IF(F5&lt;&gt;"",2,"")</f>
      </c>
      <c r="I5" s="16">
        <f>IF(N5&lt;&gt;"",2,"")</f>
      </c>
      <c r="J5" s="298"/>
      <c r="K5" s="42" t="s">
        <v>334</v>
      </c>
      <c r="L5" s="41">
        <f>IF(N5="","",2)</f>
      </c>
      <c r="M5" s="37" t="s">
        <v>401</v>
      </c>
      <c r="N5" s="80">
        <f>IF(Scoping!O42=2,"o","")</f>
      </c>
      <c r="O5" s="16"/>
      <c r="P5" s="81">
        <v>0.57</v>
      </c>
      <c r="Q5" s="82" t="s">
        <v>41</v>
      </c>
      <c r="R5" s="37">
        <f>IF(P5&gt;=$M$17*1.25,"",IF(P5&gt;=$M$17,Q5,""))</f>
      </c>
      <c r="S5" s="84"/>
      <c r="T5" s="99">
        <v>0.66</v>
      </c>
      <c r="U5" s="91">
        <f t="shared" si="0"/>
      </c>
      <c r="V5" s="91">
        <v>1600</v>
      </c>
      <c r="W5" s="91">
        <f t="shared" si="1"/>
      </c>
      <c r="Y5" s="31"/>
    </row>
    <row r="6" spans="2:25" ht="62.25" customHeight="1">
      <c r="B6" s="296" t="s">
        <v>363</v>
      </c>
      <c r="C6" s="176" t="s">
        <v>335</v>
      </c>
      <c r="D6" s="177">
        <f>IF(F6="","",2.001)</f>
      </c>
      <c r="E6" s="178" t="s">
        <v>390</v>
      </c>
      <c r="F6" s="179">
        <f>IF(Scoping!O34=3,"o","")</f>
      </c>
      <c r="G6" s="106"/>
      <c r="H6" s="16">
        <f>IF(F6&lt;&gt;"",3,"")</f>
      </c>
      <c r="I6" s="16">
        <f>IF(N6&lt;&gt;"",3,"")</f>
      </c>
      <c r="J6" s="298" t="s">
        <v>371</v>
      </c>
      <c r="K6" s="42" t="s">
        <v>335</v>
      </c>
      <c r="L6" s="41">
        <f>IF(N6="","",3)</f>
      </c>
      <c r="M6" s="37" t="s">
        <v>402</v>
      </c>
      <c r="N6" s="80">
        <f>IF(Scoping!O42=3,"o","")</f>
      </c>
      <c r="O6" s="16"/>
      <c r="P6" s="81">
        <v>0.5</v>
      </c>
      <c r="Q6" s="83" t="s">
        <v>42</v>
      </c>
      <c r="R6" s="37">
        <f aca="true" t="shared" si="2" ref="R6:R17">IF(P6&gt;=$M$17*1.25,"",IF(P6&gt;=$M$17/1.25,Q6,""))</f>
      </c>
      <c r="S6" s="84"/>
      <c r="T6" s="99">
        <v>0.57</v>
      </c>
      <c r="U6" s="91">
        <f t="shared" si="0"/>
      </c>
      <c r="V6" s="91">
        <v>1400</v>
      </c>
      <c r="W6" s="91">
        <f t="shared" si="1"/>
      </c>
      <c r="Y6" s="31"/>
    </row>
    <row r="7" spans="2:25" ht="63" customHeight="1">
      <c r="B7" s="296"/>
      <c r="C7" s="176" t="s">
        <v>334</v>
      </c>
      <c r="D7" s="177">
        <f>IF(F7="","",3)</f>
      </c>
      <c r="E7" s="178"/>
      <c r="F7" s="179">
        <f>IF(Scoping!O34=4,"o","")</f>
      </c>
      <c r="G7" s="106">
        <f>IF(F7&lt;&gt;"",IF($N$5&lt;&gt;"",1,IF($N$7&lt;&gt;"",1,IF($N$9&lt;&gt;"",1,IF($N$11&lt;&gt;"",1,IF($N$13&lt;&gt;"",1,""))))),"")</f>
      </c>
      <c r="H7" s="16">
        <f>IF(F7&lt;&gt;"",4,"")</f>
      </c>
      <c r="I7" s="16">
        <f>IF(N7&lt;&gt;"",4,"")</f>
      </c>
      <c r="J7" s="298"/>
      <c r="K7" s="42" t="s">
        <v>334</v>
      </c>
      <c r="L7" s="41">
        <f>IF(N7="","",4)</f>
      </c>
      <c r="M7" s="37" t="s">
        <v>403</v>
      </c>
      <c r="N7" s="80">
        <f>IF(Scoping!O42=4,"o","")</f>
      </c>
      <c r="O7" s="16"/>
      <c r="P7" s="81">
        <v>0.43</v>
      </c>
      <c r="Q7" s="83" t="s">
        <v>43</v>
      </c>
      <c r="R7" s="37">
        <f t="shared" si="2"/>
      </c>
      <c r="S7" s="84"/>
      <c r="T7" s="99">
        <v>0.5</v>
      </c>
      <c r="U7" s="91">
        <f t="shared" si="0"/>
      </c>
      <c r="V7" s="91">
        <v>1216</v>
      </c>
      <c r="W7" s="91">
        <f t="shared" si="1"/>
      </c>
      <c r="Y7" s="31"/>
    </row>
    <row r="8" spans="2:25" ht="56.25" customHeight="1">
      <c r="B8" s="296" t="s">
        <v>367</v>
      </c>
      <c r="C8" s="176" t="s">
        <v>335</v>
      </c>
      <c r="D8" s="177">
        <f>IF(F8="","",3.001)</f>
      </c>
      <c r="E8" s="178" t="s">
        <v>391</v>
      </c>
      <c r="F8" s="179">
        <f>IF(Scoping!O34=5,"o","")</f>
      </c>
      <c r="G8" s="106"/>
      <c r="H8" s="16">
        <f>IF(F8&lt;&gt;"",5,"")</f>
      </c>
      <c r="I8" s="16">
        <f>IF(N8&lt;&gt;"",5,"")</f>
      </c>
      <c r="J8" s="298" t="s">
        <v>386</v>
      </c>
      <c r="K8" s="42" t="s">
        <v>335</v>
      </c>
      <c r="L8" s="41">
        <f>IF(N8="","",5)</f>
      </c>
      <c r="M8" s="37" t="s">
        <v>404</v>
      </c>
      <c r="N8" s="80">
        <f>IF(Scoping!O42=5,"o","")</f>
      </c>
      <c r="O8" s="16"/>
      <c r="P8" s="81">
        <v>0.38</v>
      </c>
      <c r="Q8" s="82" t="s">
        <v>44</v>
      </c>
      <c r="R8" s="37">
        <f t="shared" si="2"/>
      </c>
      <c r="S8" s="84"/>
      <c r="T8" s="99">
        <v>0.43</v>
      </c>
      <c r="U8" s="91">
        <f t="shared" si="0"/>
      </c>
      <c r="V8" s="91">
        <v>1056</v>
      </c>
      <c r="W8" s="91">
        <f t="shared" si="1"/>
      </c>
      <c r="Y8" s="31"/>
    </row>
    <row r="9" spans="2:25" ht="66.75" customHeight="1">
      <c r="B9" s="296"/>
      <c r="C9" s="176" t="s">
        <v>334</v>
      </c>
      <c r="D9" s="177">
        <f>IF(F9="","",4)</f>
      </c>
      <c r="E9" s="178" t="s">
        <v>392</v>
      </c>
      <c r="F9" s="179">
        <f>IF(Scoping!O34=6,"o","")</f>
      </c>
      <c r="G9" s="106">
        <f>IF(F9&lt;&gt;"",IF($N$5&lt;&gt;"",1,IF($N$7&lt;&gt;"",1,IF($N$9&lt;&gt;"",1,IF($N$11&lt;&gt;"",1,IF($N$13&lt;&gt;"",1,""))))),"")</f>
      </c>
      <c r="H9" s="16">
        <f>IF(F9&lt;&gt;"",6,"")</f>
      </c>
      <c r="I9" s="16">
        <f>IF(N9&lt;&gt;"",6,"")</f>
      </c>
      <c r="J9" s="298"/>
      <c r="K9" s="42" t="s">
        <v>334</v>
      </c>
      <c r="L9" s="41">
        <f>IF(N9="","",6)</f>
      </c>
      <c r="M9" s="37" t="s">
        <v>405</v>
      </c>
      <c r="N9" s="80">
        <f>IF(Scoping!O42=6,"o","")</f>
      </c>
      <c r="O9" s="16"/>
      <c r="P9" s="81">
        <v>0.33</v>
      </c>
      <c r="Q9" s="82" t="s">
        <v>45</v>
      </c>
      <c r="R9" s="37">
        <f t="shared" si="2"/>
      </c>
      <c r="S9" s="84"/>
      <c r="T9" s="99">
        <v>0.38</v>
      </c>
      <c r="U9" s="91">
        <f t="shared" si="0"/>
      </c>
      <c r="V9" s="91">
        <v>920</v>
      </c>
      <c r="W9" s="91">
        <f t="shared" si="1"/>
      </c>
      <c r="Y9" s="31"/>
    </row>
    <row r="10" spans="2:25" ht="64.5" customHeight="1">
      <c r="B10" s="296" t="s">
        <v>368</v>
      </c>
      <c r="C10" s="176" t="s">
        <v>335</v>
      </c>
      <c r="D10" s="177">
        <f>IF(F10="","",4.001)</f>
      </c>
      <c r="E10" s="178" t="s">
        <v>393</v>
      </c>
      <c r="F10" s="179">
        <f>IF(Scoping!O34=7,"o","")</f>
      </c>
      <c r="G10" s="106"/>
      <c r="H10" s="16">
        <f>IF(F10&lt;&gt;"",7,"")</f>
      </c>
      <c r="I10" s="16">
        <f>IF(N10&lt;&gt;"",7,"")</f>
      </c>
      <c r="J10" s="298" t="s">
        <v>387</v>
      </c>
      <c r="K10" s="42" t="s">
        <v>335</v>
      </c>
      <c r="L10" s="41">
        <f>IF(N10="","",7)</f>
      </c>
      <c r="M10" s="37" t="s">
        <v>406</v>
      </c>
      <c r="N10" s="80">
        <f>IF(Scoping!O42=7,"o","")</f>
      </c>
      <c r="O10" s="16"/>
      <c r="P10" s="81">
        <v>0.29</v>
      </c>
      <c r="Q10" s="82" t="s">
        <v>46</v>
      </c>
      <c r="R10" s="37">
        <f t="shared" si="2"/>
      </c>
      <c r="S10" s="84"/>
      <c r="T10" s="99">
        <v>0.33</v>
      </c>
      <c r="U10" s="91">
        <f t="shared" si="0"/>
      </c>
      <c r="V10" s="91">
        <v>800</v>
      </c>
      <c r="W10" s="91">
        <f t="shared" si="1"/>
      </c>
      <c r="Y10" s="31"/>
    </row>
    <row r="11" spans="2:25" ht="76.5">
      <c r="B11" s="296"/>
      <c r="C11" s="176" t="s">
        <v>334</v>
      </c>
      <c r="D11" s="177">
        <f>IF(F11="","",5)</f>
      </c>
      <c r="E11" s="178" t="s">
        <v>394</v>
      </c>
      <c r="F11" s="179">
        <f>IF(Scoping!O34=8,"o","")</f>
      </c>
      <c r="G11" s="106">
        <f>IF(F11&lt;&gt;"",IF($N$5&lt;&gt;"",1,IF($N$7&lt;&gt;"",1,IF($N$9&lt;&gt;"",1,IF($N$11&lt;&gt;"",1,IF($N$13&lt;&gt;"",1,""))))),"")</f>
      </c>
      <c r="H11" s="16">
        <f>IF(F11&lt;&gt;"",8,"")</f>
      </c>
      <c r="I11" s="16">
        <f>IF(N11&lt;&gt;"",8,"")</f>
      </c>
      <c r="J11" s="298"/>
      <c r="K11" s="42" t="s">
        <v>334</v>
      </c>
      <c r="L11" s="41">
        <f>IF(N11="","",8)</f>
      </c>
      <c r="M11" s="37" t="s">
        <v>407</v>
      </c>
      <c r="N11" s="80">
        <f>IF(Scoping!O42=8,"o","")</f>
      </c>
      <c r="O11" s="16"/>
      <c r="P11" s="81">
        <v>0.25</v>
      </c>
      <c r="Q11" s="82" t="s">
        <v>47</v>
      </c>
      <c r="R11" s="37">
        <f t="shared" si="2"/>
      </c>
      <c r="S11" s="84"/>
      <c r="T11" s="99">
        <v>0.29</v>
      </c>
      <c r="U11" s="91">
        <f t="shared" si="0"/>
      </c>
      <c r="V11" s="91">
        <v>700</v>
      </c>
      <c r="W11" s="91">
        <f t="shared" si="1"/>
      </c>
      <c r="Y11" s="31"/>
    </row>
    <row r="12" spans="2:25" ht="140.25">
      <c r="B12" s="296" t="s">
        <v>365</v>
      </c>
      <c r="C12" s="176" t="s">
        <v>335</v>
      </c>
      <c r="D12" s="177">
        <f>IF(F12="","",5.001)</f>
      </c>
      <c r="E12" s="178" t="s">
        <v>395</v>
      </c>
      <c r="F12" s="179">
        <f>IF(Scoping!O34=9,"o","")</f>
      </c>
      <c r="G12" s="106"/>
      <c r="H12" s="16">
        <f>IF(F12&lt;&gt;"",9,"")</f>
      </c>
      <c r="I12" s="16">
        <f>IF(N12&lt;&gt;"",9,"")</f>
      </c>
      <c r="J12" s="298" t="s">
        <v>372</v>
      </c>
      <c r="K12" s="42" t="s">
        <v>335</v>
      </c>
      <c r="L12" s="41">
        <f>IF(N12="","",9)</f>
      </c>
      <c r="M12" s="37"/>
      <c r="N12" s="80">
        <f>IF(Scoping!O42=9,"o","")</f>
      </c>
      <c r="O12" s="16"/>
      <c r="P12" s="81">
        <v>0.22</v>
      </c>
      <c r="Q12" s="82" t="s">
        <v>48</v>
      </c>
      <c r="R12" s="37">
        <f t="shared" si="2"/>
      </c>
      <c r="S12" s="84"/>
      <c r="T12" s="99">
        <v>0.25</v>
      </c>
      <c r="U12" s="91">
        <f t="shared" si="0"/>
      </c>
      <c r="V12" s="91">
        <v>608</v>
      </c>
      <c r="W12" s="91">
        <f t="shared" si="1"/>
      </c>
      <c r="Y12" s="31"/>
    </row>
    <row r="13" spans="2:25" ht="43.5" customHeight="1">
      <c r="B13" s="296"/>
      <c r="C13" s="176" t="s">
        <v>334</v>
      </c>
      <c r="D13" s="177">
        <f>IF(F13="","",6)</f>
      </c>
      <c r="E13" s="178" t="s">
        <v>397</v>
      </c>
      <c r="F13" s="179">
        <f>IF(Scoping!O34=10,"o","")</f>
      </c>
      <c r="G13" s="106">
        <f>IF(F13&lt;&gt;"",IF($N$5&lt;&gt;"",1,IF($N$7&lt;&gt;"",1,IF($N$9&lt;&gt;"",1,IF($N$11&lt;&gt;"",1,IF($N$13&lt;&gt;"",1,""))))),"")</f>
      </c>
      <c r="H13" s="16">
        <f>IF(F13&lt;&gt;"",10,"")</f>
      </c>
      <c r="I13" s="16">
        <f>IF(N13&lt;&gt;"",10,"")</f>
      </c>
      <c r="J13" s="298"/>
      <c r="K13" s="42" t="s">
        <v>334</v>
      </c>
      <c r="L13" s="41">
        <f>IF(N13="","",10)</f>
      </c>
      <c r="M13" s="37"/>
      <c r="N13" s="80">
        <f>IF(Scoping!O42=10,"o","")</f>
      </c>
      <c r="O13" s="16"/>
      <c r="P13" s="81">
        <v>0.19</v>
      </c>
      <c r="Q13" s="82" t="s">
        <v>49</v>
      </c>
      <c r="R13" s="37">
        <f t="shared" si="2"/>
      </c>
      <c r="S13" s="84"/>
      <c r="T13" s="99">
        <v>0.22</v>
      </c>
      <c r="U13" s="91">
        <f t="shared" si="0"/>
      </c>
      <c r="V13" s="91">
        <v>528</v>
      </c>
      <c r="W13" s="91">
        <f t="shared" si="1"/>
      </c>
      <c r="Y13" s="31"/>
    </row>
    <row r="14" spans="2:25" ht="27" customHeight="1" thickBot="1">
      <c r="B14" s="296" t="s">
        <v>364</v>
      </c>
      <c r="C14" s="176" t="s">
        <v>335</v>
      </c>
      <c r="D14" s="177">
        <f>IF(F14="","",6.001)</f>
      </c>
      <c r="E14" s="178" t="s">
        <v>398</v>
      </c>
      <c r="F14" s="179">
        <f>IF(Scoping!O34=11,"o","")</f>
      </c>
      <c r="G14" s="106"/>
      <c r="H14" s="16">
        <f>IF(F14&lt;&gt;"",11,"")</f>
      </c>
      <c r="I14" s="16"/>
      <c r="J14" s="20"/>
      <c r="K14" s="20"/>
      <c r="L14" s="77">
        <f>SUM(L4:L13)</f>
        <v>0</v>
      </c>
      <c r="M14" s="127" t="s">
        <v>529</v>
      </c>
      <c r="N14" s="22" t="s">
        <v>396</v>
      </c>
      <c r="O14" s="16"/>
      <c r="P14" s="81">
        <v>0.16</v>
      </c>
      <c r="Q14" s="82" t="s">
        <v>50</v>
      </c>
      <c r="R14" s="37">
        <f t="shared" si="2"/>
      </c>
      <c r="S14" s="84"/>
      <c r="T14" s="99">
        <v>0.19</v>
      </c>
      <c r="U14" s="91">
        <f t="shared" si="0"/>
      </c>
      <c r="V14" s="91">
        <v>460</v>
      </c>
      <c r="W14" s="91">
        <f t="shared" si="1"/>
      </c>
      <c r="Y14" s="31"/>
    </row>
    <row r="15" spans="2:25" ht="27.75" customHeight="1" thickBot="1" thickTop="1">
      <c r="B15" s="296"/>
      <c r="C15" s="176" t="s">
        <v>334</v>
      </c>
      <c r="D15" s="177">
        <f>IF(F15="","",7)</f>
      </c>
      <c r="E15" s="178" t="s">
        <v>399</v>
      </c>
      <c r="F15" s="179">
        <f>IF(Scoping!O34=12,"o","")</f>
      </c>
      <c r="G15" s="106">
        <f>IF(F15&lt;&gt;"",IF($N$5&lt;&gt;"",1,IF($N$7&lt;&gt;"",1,IF($N$9&lt;&gt;"",1,IF($N$11&lt;&gt;"",1,IF($N$13&lt;&gt;"",1,""))))),"")</f>
      </c>
      <c r="H15" s="16">
        <f>IF(F15&lt;&gt;"",12,"")</f>
      </c>
      <c r="I15" s="16"/>
      <c r="J15" s="109">
        <f>10*1.23*(1.15)^(D20-2)</f>
        <v>9.300567107750474</v>
      </c>
      <c r="K15" s="20"/>
      <c r="L15" s="20"/>
      <c r="M15" s="43">
        <f>U20</f>
        <v>0</v>
      </c>
      <c r="N15" s="47">
        <f>W51</f>
        <v>0</v>
      </c>
      <c r="O15" s="16"/>
      <c r="P15" s="81">
        <v>0.14</v>
      </c>
      <c r="Q15" s="82" t="s">
        <v>51</v>
      </c>
      <c r="R15" s="37">
        <f t="shared" si="2"/>
      </c>
      <c r="S15" s="84"/>
      <c r="T15" s="99">
        <v>0.16</v>
      </c>
      <c r="U15" s="91">
        <f t="shared" si="0"/>
      </c>
      <c r="V15" s="91">
        <v>400</v>
      </c>
      <c r="W15" s="91">
        <f t="shared" si="1"/>
      </c>
      <c r="Y15" s="31"/>
    </row>
    <row r="16" spans="2:25" ht="27" customHeight="1" thickBot="1" thickTop="1">
      <c r="B16" s="296" t="s">
        <v>369</v>
      </c>
      <c r="C16" s="176" t="s">
        <v>335</v>
      </c>
      <c r="D16" s="177">
        <f>IF(F16="","",7.001)</f>
      </c>
      <c r="E16" s="178"/>
      <c r="F16" s="179">
        <f>IF(Scoping!O34=13,"o","")</f>
      </c>
      <c r="G16" s="106"/>
      <c r="H16" s="16">
        <f>IF(F16&lt;&gt;"",13,"")</f>
      </c>
      <c r="I16" s="16"/>
      <c r="J16" s="32"/>
      <c r="K16" s="32"/>
      <c r="L16" s="32"/>
      <c r="M16" s="128" t="s">
        <v>528</v>
      </c>
      <c r="N16" s="129" t="s">
        <v>396</v>
      </c>
      <c r="O16" s="16"/>
      <c r="P16" s="81">
        <v>0.12</v>
      </c>
      <c r="Q16" s="82" t="s">
        <v>52</v>
      </c>
      <c r="R16" s="37">
        <f t="shared" si="2"/>
      </c>
      <c r="S16" s="84"/>
      <c r="T16" s="99">
        <v>0.14</v>
      </c>
      <c r="U16" s="91">
        <f t="shared" si="0"/>
      </c>
      <c r="V16" s="91">
        <v>350</v>
      </c>
      <c r="W16" s="91">
        <f t="shared" si="1"/>
      </c>
      <c r="Y16" s="31"/>
    </row>
    <row r="17" spans="2:25" ht="36" customHeight="1" thickBot="1" thickTop="1">
      <c r="B17" s="296"/>
      <c r="C17" s="176" t="s">
        <v>334</v>
      </c>
      <c r="D17" s="177">
        <f>IF(F17="","",8)</f>
      </c>
      <c r="E17" s="178"/>
      <c r="F17" s="179">
        <f>IF(Scoping!O34=14,"o","")</f>
      </c>
      <c r="G17" s="106">
        <f>IF(F17&lt;&gt;"",IF($N$5&lt;&gt;"",1,IF($N$7&lt;&gt;"",1,IF($N$9&lt;&gt;"",1,IF($N$11&lt;&gt;"",1,IF($N$13&lt;&gt;"",1,""))))),"")</f>
      </c>
      <c r="H17" s="16">
        <f>IF(F17&lt;&gt;"",14,"")</f>
      </c>
      <c r="I17" s="16"/>
      <c r="J17" s="97"/>
      <c r="K17" s="20"/>
      <c r="L17" s="20"/>
      <c r="M17" s="130">
        <f>10*1.23*(1.15)^(D20+L14-3-G20)/100</f>
        <v>0.08087449658913456</v>
      </c>
      <c r="N17" s="131">
        <f>M17*Knowhow!J22</f>
        <v>2.020699183290615</v>
      </c>
      <c r="O17" s="16"/>
      <c r="P17" s="81">
        <v>0.1</v>
      </c>
      <c r="Q17" s="82" t="s">
        <v>53</v>
      </c>
      <c r="R17" s="37" t="str">
        <f t="shared" si="2"/>
        <v>10% : Simple jobs, no changes</v>
      </c>
      <c r="S17" s="84"/>
      <c r="T17" s="99">
        <v>0.12</v>
      </c>
      <c r="U17" s="91">
        <f t="shared" si="0"/>
      </c>
      <c r="V17" s="91">
        <v>304</v>
      </c>
      <c r="W17" s="91">
        <f t="shared" si="1"/>
      </c>
      <c r="Y17" s="31"/>
    </row>
    <row r="18" spans="2:25" ht="48" customHeight="1" thickTop="1">
      <c r="B18" s="296" t="s">
        <v>362</v>
      </c>
      <c r="C18" s="176" t="s">
        <v>335</v>
      </c>
      <c r="D18" s="177">
        <f>IF(F18="","",8.001)</f>
      </c>
      <c r="E18" s="178"/>
      <c r="F18" s="179">
        <f>IF(Scoping!O34=15,"o","")</f>
      </c>
      <c r="G18" s="106"/>
      <c r="H18" s="16">
        <f>IF(F18&lt;&gt;"",15,"")</f>
      </c>
      <c r="I18" s="16"/>
      <c r="J18" s="301" t="s">
        <v>340</v>
      </c>
      <c r="K18" s="301"/>
      <c r="L18" s="301"/>
      <c r="M18" s="61">
        <f>IF($D$20&gt;3,IF($L$14&lt;2,"Not allowed or unusual combination",""),"")</f>
      </c>
      <c r="N18" s="302" t="s">
        <v>408</v>
      </c>
      <c r="O18" s="16"/>
      <c r="P18" s="38"/>
      <c r="Q18" s="38" t="s">
        <v>409</v>
      </c>
      <c r="R18" s="37">
        <f>IF(M17&gt;57%,Q18,"")</f>
      </c>
      <c r="S18" s="39"/>
      <c r="T18" s="99">
        <v>0.1</v>
      </c>
      <c r="U18" s="91">
        <f t="shared" si="0"/>
      </c>
      <c r="V18" s="91">
        <v>264</v>
      </c>
      <c r="W18" s="91">
        <f t="shared" si="1"/>
      </c>
      <c r="Y18" s="31"/>
    </row>
    <row r="19" spans="2:25" ht="36" customHeight="1" thickBot="1">
      <c r="B19" s="296"/>
      <c r="C19" s="176" t="s">
        <v>334</v>
      </c>
      <c r="D19" s="177">
        <f>IF(F19="","",9)</f>
      </c>
      <c r="E19" s="178"/>
      <c r="F19" s="179">
        <f>IF(Scoping!O34=16,"o","")</f>
      </c>
      <c r="G19" s="106">
        <f>IF(F19&lt;&gt;"",IF($N$5&lt;&gt;"",1,IF($N$7&lt;&gt;"",1,IF($N$9&lt;&gt;"",1,IF($N$11&lt;&gt;"",1,IF($N$13&lt;&gt;"",1,""))))),"")</f>
      </c>
      <c r="H19" s="16">
        <f>IF(F19&lt;&gt;"",16,"")</f>
      </c>
      <c r="I19" s="16"/>
      <c r="J19" s="299" t="s">
        <v>373</v>
      </c>
      <c r="K19" s="299"/>
      <c r="L19" s="299"/>
      <c r="M19" s="61">
        <f>IF($D$2045,IF($L$14&lt;4,"Not allowed or unusual combination",""),"")</f>
      </c>
      <c r="N19" s="302"/>
      <c r="O19" s="16"/>
      <c r="P19" s="38"/>
      <c r="Q19" s="38"/>
      <c r="R19" s="20"/>
      <c r="S19" s="39"/>
      <c r="T19" s="99">
        <v>0.08</v>
      </c>
      <c r="U19" s="100"/>
      <c r="V19" s="91">
        <v>230</v>
      </c>
      <c r="W19" s="91">
        <f t="shared" si="1"/>
      </c>
      <c r="Y19" s="31"/>
    </row>
    <row r="20" spans="2:23" ht="21.75" thickBot="1" thickTop="1">
      <c r="B20" s="35"/>
      <c r="C20" s="20"/>
      <c r="D20" s="143">
        <f>SUM(D4:D19)</f>
        <v>0</v>
      </c>
      <c r="E20" s="77" t="s">
        <v>338</v>
      </c>
      <c r="F20" s="20"/>
      <c r="G20" s="106">
        <f>SUM(G4:G19)</f>
        <v>0</v>
      </c>
      <c r="H20" s="16">
        <f>SUM(H4:H19)</f>
        <v>0</v>
      </c>
      <c r="I20" s="16">
        <f>SUM(I4:I19)</f>
        <v>0</v>
      </c>
      <c r="J20" s="196" t="e">
        <f>VLOOKUP(H20,Indexes,4)</f>
        <v>#N/A</v>
      </c>
      <c r="K20" s="20"/>
      <c r="L20" s="20"/>
      <c r="M20" s="61">
        <f>IF($D$20&gt;6,IF($L$14&lt;6,"Not allowed or unusual combination",""),"")</f>
      </c>
      <c r="N20" s="302"/>
      <c r="O20" s="16"/>
      <c r="P20" s="38"/>
      <c r="Q20" s="38"/>
      <c r="R20" s="20"/>
      <c r="S20" s="21"/>
      <c r="T20" s="99" t="s">
        <v>527</v>
      </c>
      <c r="U20" s="91">
        <f>SUM(U2:U19)</f>
        <v>0</v>
      </c>
      <c r="V20" s="91">
        <v>200</v>
      </c>
      <c r="W20" s="91">
        <f t="shared" si="1"/>
      </c>
    </row>
    <row r="21" spans="2:23" ht="60" customHeight="1" thickBot="1" thickTop="1">
      <c r="B21" s="35"/>
      <c r="C21" s="20"/>
      <c r="D21" s="20"/>
      <c r="E21" s="20"/>
      <c r="F21" s="20"/>
      <c r="G21" s="20"/>
      <c r="H21" s="16"/>
      <c r="I21" s="16"/>
      <c r="J21" s="299" t="s">
        <v>374</v>
      </c>
      <c r="K21" s="299"/>
      <c r="L21" s="299"/>
      <c r="M21" s="61">
        <f>IF($D$20&lt;2,IF($L$14&gt;3,"Not allowed or unusual combination",""),"")</f>
      </c>
      <c r="N21" s="302"/>
      <c r="O21" s="16"/>
      <c r="P21" s="38"/>
      <c r="Q21" s="38"/>
      <c r="R21" s="20"/>
      <c r="S21" s="21"/>
      <c r="T21" s="98"/>
      <c r="V21" s="91">
        <v>175</v>
      </c>
      <c r="W21" s="91">
        <f t="shared" si="1"/>
      </c>
    </row>
    <row r="22" spans="2:23" ht="21" customHeight="1" thickBot="1" thickTop="1">
      <c r="B22" s="35"/>
      <c r="C22" s="20"/>
      <c r="D22" s="20"/>
      <c r="E22" s="20"/>
      <c r="F22" s="20"/>
      <c r="G22" s="20"/>
      <c r="H22" s="16"/>
      <c r="I22" s="16"/>
      <c r="J22" s="196" t="e">
        <f>VLOOKUP(I20,Indexes,5)</f>
        <v>#N/A</v>
      </c>
      <c r="K22" s="20"/>
      <c r="L22" s="20"/>
      <c r="M22" s="61">
        <f>IF($D$20&lt;3,IF($L$14&gt;5,"Not allowed or unusual combination",""),"")</f>
      </c>
      <c r="N22" s="302"/>
      <c r="O22" s="16"/>
      <c r="P22" s="38"/>
      <c r="Q22" s="38"/>
      <c r="R22" s="20"/>
      <c r="S22" s="21"/>
      <c r="T22" s="98"/>
      <c r="V22" s="91">
        <v>152</v>
      </c>
      <c r="W22" s="91">
        <f t="shared" si="1"/>
      </c>
    </row>
    <row r="23" spans="2:23" ht="21" customHeight="1" thickTop="1">
      <c r="B23" s="35"/>
      <c r="C23" s="20"/>
      <c r="D23" s="20"/>
      <c r="E23" s="20"/>
      <c r="F23" s="20"/>
      <c r="G23" s="20"/>
      <c r="H23" s="16"/>
      <c r="I23" s="16"/>
      <c r="J23" s="20"/>
      <c r="K23" s="20"/>
      <c r="L23" s="20"/>
      <c r="M23" s="61">
        <f>IF($D$20&lt;5,IF($L$14&gt;7,"Not allowed or unusual combination",""),"")</f>
      </c>
      <c r="N23" s="53"/>
      <c r="O23" s="16"/>
      <c r="P23" s="38"/>
      <c r="Q23" s="38"/>
      <c r="R23" s="20"/>
      <c r="S23" s="21"/>
      <c r="T23" s="98"/>
      <c r="V23" s="91">
        <v>132</v>
      </c>
      <c r="W23" s="91">
        <f>IF($N$17&gt;(V25+(V23-V25)/2),IF($N$17&lt;(V23+(V22-V23)/2),V23,""),"")</f>
      </c>
    </row>
    <row r="24" spans="2:23" ht="21" customHeight="1">
      <c r="B24" s="35"/>
      <c r="C24" s="20"/>
      <c r="D24" s="20"/>
      <c r="E24" s="20"/>
      <c r="F24" s="20"/>
      <c r="G24" s="20"/>
      <c r="H24" s="16"/>
      <c r="I24" s="16"/>
      <c r="J24" s="61"/>
      <c r="K24" s="61"/>
      <c r="L24" s="61"/>
      <c r="M24" s="61"/>
      <c r="N24" s="236" t="s">
        <v>220</v>
      </c>
      <c r="O24" s="16"/>
      <c r="P24" s="38"/>
      <c r="Q24" s="38"/>
      <c r="R24" s="20"/>
      <c r="S24" s="21"/>
      <c r="T24" s="98"/>
      <c r="V24" s="91"/>
      <c r="W24" s="91"/>
    </row>
    <row r="25" spans="2:23" ht="13.5" thickBot="1">
      <c r="B25" s="40"/>
      <c r="C25" s="25"/>
      <c r="D25" s="25"/>
      <c r="E25" s="25"/>
      <c r="F25" s="25"/>
      <c r="G25" s="25"/>
      <c r="H25" s="25"/>
      <c r="I25" s="25"/>
      <c r="J25" s="25"/>
      <c r="K25" s="25"/>
      <c r="L25" s="25"/>
      <c r="M25" s="25"/>
      <c r="N25" s="25"/>
      <c r="O25" s="25"/>
      <c r="P25" s="25"/>
      <c r="Q25" s="25"/>
      <c r="R25" s="25"/>
      <c r="S25" s="27"/>
      <c r="T25" s="98"/>
      <c r="V25" s="91">
        <v>115</v>
      </c>
      <c r="W25" s="91">
        <f>IF($N$17&gt;(V26+(V25-V26)/2),IF($N$17&lt;(V25+(V23-V25)/2),V25,""),"")</f>
      </c>
    </row>
    <row r="26" spans="20:23" ht="13.5" thickTop="1">
      <c r="T26" s="98"/>
      <c r="V26" s="91">
        <v>100</v>
      </c>
      <c r="W26" s="91">
        <f t="shared" si="1"/>
      </c>
    </row>
    <row r="27" spans="2:23" ht="33" customHeight="1" hidden="1">
      <c r="B27" s="285" t="s">
        <v>491</v>
      </c>
      <c r="C27" s="285"/>
      <c r="D27" s="285"/>
      <c r="E27" s="285"/>
      <c r="F27" s="285"/>
      <c r="G27" s="285"/>
      <c r="T27" s="98"/>
      <c r="V27" s="91">
        <v>87</v>
      </c>
      <c r="W27" s="91">
        <f t="shared" si="1"/>
      </c>
    </row>
    <row r="28" spans="2:23" ht="30.75" customHeight="1" hidden="1">
      <c r="B28" s="241" t="s">
        <v>490</v>
      </c>
      <c r="C28" s="241"/>
      <c r="D28" s="241"/>
      <c r="E28" s="241"/>
      <c r="F28" s="241"/>
      <c r="G28" s="241"/>
      <c r="T28" s="98"/>
      <c r="V28" s="91">
        <v>76</v>
      </c>
      <c r="W28" s="91">
        <f t="shared" si="1"/>
      </c>
    </row>
    <row r="29" spans="1:23" ht="12.75" hidden="1">
      <c r="A29" t="s">
        <v>559</v>
      </c>
      <c r="B29" s="12" t="e">
        <f>IF(Knowhow!J25=A29,IF($M$15=57%,"Combination Sound",IF($M$15=50%,"Combination Sound","")),"")</f>
        <v>#N/A</v>
      </c>
      <c r="C29" s="12"/>
      <c r="E29" s="98" t="e">
        <f>B29</f>
        <v>#N/A</v>
      </c>
      <c r="T29" s="98"/>
      <c r="V29" s="91">
        <v>66</v>
      </c>
      <c r="W29" s="91">
        <f t="shared" si="1"/>
      </c>
    </row>
    <row r="30" spans="1:23" ht="12.75" hidden="1">
      <c r="A30" t="s">
        <v>561</v>
      </c>
      <c r="B30" s="12" t="e">
        <f>IF(Knowhow!J25=A30,IF($M$15=50%,"Combination Sound",IF($M$15=43%,"Combination Sound",IF($M$15=38%,"Use with Caution",""))),"")</f>
        <v>#N/A</v>
      </c>
      <c r="E30" t="e">
        <f>IF(B30="",E29,B30)</f>
        <v>#N/A</v>
      </c>
      <c r="T30" s="98"/>
      <c r="V30" s="91">
        <v>57</v>
      </c>
      <c r="W30" s="91">
        <f t="shared" si="1"/>
      </c>
    </row>
    <row r="31" spans="1:23" ht="12.75" hidden="1">
      <c r="A31" t="s">
        <v>558</v>
      </c>
      <c r="B31" s="12" t="e">
        <f>IF(Knowhow!J25=A31,IF($M$15=50%,"Use with Caution",IF($M$15=43%,"Combination Sound",IF($M$15=38%,"Combination Sound",""))),"")</f>
        <v>#N/A</v>
      </c>
      <c r="E31" t="e">
        <f aca="true" t="shared" si="3" ref="E31:E44">IF(B31="",E30,B31)</f>
        <v>#N/A</v>
      </c>
      <c r="T31" s="98"/>
      <c r="V31" s="91">
        <v>50</v>
      </c>
      <c r="W31" s="91">
        <f t="shared" si="1"/>
      </c>
    </row>
    <row r="32" spans="1:23" ht="12.75" hidden="1">
      <c r="A32" t="s">
        <v>557</v>
      </c>
      <c r="B32" s="12" t="e">
        <f>IF(Knowhow!J25=A32,IF($M$15=43%,"Combination Sound",IF($M$15=38%,"Combination Sound",IF($M$15=33%,"Combination Sound",""))),"")</f>
        <v>#N/A</v>
      </c>
      <c r="E32" t="e">
        <f t="shared" si="3"/>
        <v>#N/A</v>
      </c>
      <c r="V32" s="91">
        <v>43</v>
      </c>
      <c r="W32" s="91">
        <f t="shared" si="1"/>
      </c>
    </row>
    <row r="33" spans="1:23" ht="12.75" hidden="1">
      <c r="A33" t="s">
        <v>560</v>
      </c>
      <c r="B33" s="12" t="e">
        <f>IF(Knowhow!J25=A33,IF($M$15=43%,"Use with Caution",IF($M$15=38%,"Combination Sound",IF($M$15=33%,"Combination Sound",IF($M$15=29%,"Use with Cation","")))),"")</f>
        <v>#N/A</v>
      </c>
      <c r="E33" t="e">
        <f t="shared" si="3"/>
        <v>#N/A</v>
      </c>
      <c r="V33" s="91">
        <v>38</v>
      </c>
      <c r="W33" s="91">
        <f t="shared" si="1"/>
      </c>
    </row>
    <row r="34" spans="1:23" ht="12.75" hidden="1">
      <c r="A34" t="s">
        <v>556</v>
      </c>
      <c r="B34" s="12" t="e">
        <f>IF(Knowhow!J25=A34,IF($M$15=33%,"Combination Sound",IF($M$15=29%,"Combination Sound","")),"")</f>
        <v>#N/A</v>
      </c>
      <c r="E34" t="e">
        <f t="shared" si="3"/>
        <v>#N/A</v>
      </c>
      <c r="V34" s="91">
        <v>33</v>
      </c>
      <c r="W34" s="91">
        <f t="shared" si="1"/>
      </c>
    </row>
    <row r="35" spans="1:23" ht="12.75" hidden="1">
      <c r="A35" t="s">
        <v>555</v>
      </c>
      <c r="B35" s="12" t="e">
        <f>IF(Knowhow!J25=A35,IF($M$15=33%,"Combination Sound",IF($M$15=29%,"Combination Sound","")),"")</f>
        <v>#N/A</v>
      </c>
      <c r="E35" t="e">
        <f t="shared" si="3"/>
        <v>#N/A</v>
      </c>
      <c r="V35" s="91">
        <v>29</v>
      </c>
      <c r="W35" s="91">
        <f t="shared" si="1"/>
      </c>
    </row>
    <row r="36" spans="1:23" ht="12.75" hidden="1">
      <c r="A36" t="s">
        <v>580</v>
      </c>
      <c r="B36" s="12" t="e">
        <f>IF(Knowhow!J25=A36,IF($M$15=29%,"Combination Sound",IF($M$15=25%,"Combination Sound","")),"")</f>
        <v>#N/A</v>
      </c>
      <c r="E36" t="e">
        <f t="shared" si="3"/>
        <v>#N/A</v>
      </c>
      <c r="V36" s="91">
        <v>25</v>
      </c>
      <c r="W36" s="91">
        <f t="shared" si="1"/>
      </c>
    </row>
    <row r="37" spans="1:23" ht="12.75" hidden="1">
      <c r="A37" t="s">
        <v>554</v>
      </c>
      <c r="B37" s="12" t="e">
        <f>IF(Knowhow!J25=A37,IF($M$15=29%,"Combination Sound",IF($M$15=25%,"Combination Sound",IF($M$15=22%,"Use with Caution",""))),"")</f>
        <v>#N/A</v>
      </c>
      <c r="E37" t="e">
        <f t="shared" si="3"/>
        <v>#N/A</v>
      </c>
      <c r="V37" s="91">
        <v>22</v>
      </c>
      <c r="W37" s="91">
        <f t="shared" si="1"/>
      </c>
    </row>
    <row r="38" spans="1:23" ht="12.75" hidden="1">
      <c r="A38" t="s">
        <v>570</v>
      </c>
      <c r="B38" s="12" t="e">
        <f>IF(Knowhow!J25=J26,IF($M$15=25%,"Combination Sound",IF($M$15=22%,"Combination Sound","")),"")</f>
        <v>#N/A</v>
      </c>
      <c r="E38" t="e">
        <f t="shared" si="3"/>
        <v>#N/A</v>
      </c>
      <c r="V38" s="91">
        <v>19</v>
      </c>
      <c r="W38" s="91">
        <f t="shared" si="1"/>
      </c>
    </row>
    <row r="39" spans="1:23" ht="12.75" hidden="1">
      <c r="A39" t="s">
        <v>569</v>
      </c>
      <c r="B39" s="12" t="e">
        <f>IF(Knowhow!J25=A39,IF($M$15=25%,"Combination Sound",IF($M$15=22%,"Combination Sound",IF($M$15=19%,"Combination Sound",""))),"")</f>
        <v>#N/A</v>
      </c>
      <c r="E39" t="e">
        <f t="shared" si="3"/>
        <v>#N/A</v>
      </c>
      <c r="V39" s="91">
        <v>16</v>
      </c>
      <c r="W39" s="91">
        <f t="shared" si="1"/>
      </c>
    </row>
    <row r="40" spans="1:23" ht="12.75" hidden="1">
      <c r="A40" t="s">
        <v>568</v>
      </c>
      <c r="B40" s="12" t="e">
        <f>IF(Knowhow!J25=A40,IF($M$15=19%,"Combination Sound",IF($M$15=16%,"Combination Sound","")),"")</f>
        <v>#N/A</v>
      </c>
      <c r="E40" t="e">
        <f t="shared" si="3"/>
        <v>#N/A</v>
      </c>
      <c r="V40" s="91">
        <v>14</v>
      </c>
      <c r="W40" s="91">
        <f t="shared" si="1"/>
      </c>
    </row>
    <row r="41" spans="1:23" ht="12.75" hidden="1">
      <c r="A41" t="s">
        <v>567</v>
      </c>
      <c r="B41" s="12" t="e">
        <f>IF(Knowhow!J25=A41,IF($M$15=19%,"Combination Sound",IF($M$15=16%,"Combination Sound",IF($M$15=14%,"Use with Caution",""))),"")</f>
        <v>#N/A</v>
      </c>
      <c r="E41" t="e">
        <f t="shared" si="3"/>
        <v>#N/A</v>
      </c>
      <c r="V41" s="91">
        <v>12</v>
      </c>
      <c r="W41" s="91">
        <f t="shared" si="1"/>
      </c>
    </row>
    <row r="42" spans="1:23" ht="12.75" hidden="1">
      <c r="A42" t="s">
        <v>566</v>
      </c>
      <c r="B42" s="12" t="e">
        <f>IF(Knowhow!J25=A42,IF($M$15=16%,"Combination Sound",IF($M$15=14%,"Combination Sound",IF($M$15=12%,"Use with Caution",""))),"")</f>
        <v>#N/A</v>
      </c>
      <c r="E42" t="e">
        <f t="shared" si="3"/>
        <v>#N/A</v>
      </c>
      <c r="V42" s="91">
        <v>10</v>
      </c>
      <c r="W42" s="91">
        <f t="shared" si="1"/>
      </c>
    </row>
    <row r="43" spans="1:23" ht="12.75" hidden="1">
      <c r="A43" t="s">
        <v>565</v>
      </c>
      <c r="B43" s="12" t="e">
        <f>IF(Knowhow!J25=A43,IF($M$15=16%,"Use with Caution",IF($M$15=14%,"Combination Sound",IF($M$15=12%,"Combination Sound",""))),"")</f>
        <v>#N/A</v>
      </c>
      <c r="E43" t="e">
        <f t="shared" si="3"/>
        <v>#N/A</v>
      </c>
      <c r="V43" s="91">
        <v>9</v>
      </c>
      <c r="W43" s="91">
        <f t="shared" si="1"/>
      </c>
    </row>
    <row r="44" spans="1:23" ht="12.75" hidden="1">
      <c r="A44" t="s">
        <v>564</v>
      </c>
      <c r="B44" s="12" t="e">
        <f>IF(Knowhow!J25=A44,IF($M$15=12%,"Combination Sound",IF($M$15=10%,"Combination Sound","")),"")</f>
        <v>#N/A</v>
      </c>
      <c r="E44" t="e">
        <f t="shared" si="3"/>
        <v>#N/A</v>
      </c>
      <c r="V44" s="91">
        <v>8</v>
      </c>
      <c r="W44" s="91">
        <f t="shared" si="1"/>
      </c>
    </row>
    <row r="45" spans="22:23" ht="12.75">
      <c r="V45" s="91">
        <v>7</v>
      </c>
      <c r="W45" s="91">
        <f t="shared" si="1"/>
      </c>
    </row>
    <row r="46" spans="22:23" ht="12.75">
      <c r="V46" s="91">
        <v>6</v>
      </c>
      <c r="W46" s="91">
        <f t="shared" si="1"/>
      </c>
    </row>
    <row r="47" spans="22:23" ht="12.75">
      <c r="V47" s="91">
        <v>5</v>
      </c>
      <c r="W47" s="91">
        <f t="shared" si="1"/>
      </c>
    </row>
    <row r="48" spans="22:23" ht="12.75">
      <c r="V48" s="91">
        <v>4</v>
      </c>
      <c r="W48" s="91">
        <f t="shared" si="1"/>
      </c>
    </row>
    <row r="49" spans="22:23" ht="12.75">
      <c r="V49" s="91">
        <v>3</v>
      </c>
      <c r="W49" s="91">
        <f t="shared" si="1"/>
      </c>
    </row>
    <row r="50" spans="22:23" ht="12.75">
      <c r="V50" s="91">
        <v>2</v>
      </c>
      <c r="W50" s="91"/>
    </row>
    <row r="51" spans="22:23" ht="12.75">
      <c r="V51" s="91" t="s">
        <v>527</v>
      </c>
      <c r="W51" s="91">
        <f>SUM(W2:W50)</f>
        <v>0</v>
      </c>
    </row>
  </sheetData>
  <sheetProtection password="CA99" sheet="1" objects="1" scenarios="1" selectLockedCells="1"/>
  <mergeCells count="26">
    <mergeCell ref="B1:M1"/>
    <mergeCell ref="B2:F2"/>
    <mergeCell ref="J2:N2"/>
    <mergeCell ref="J8:J9"/>
    <mergeCell ref="C3:D3"/>
    <mergeCell ref="B4:B5"/>
    <mergeCell ref="B14:B15"/>
    <mergeCell ref="J12:J13"/>
    <mergeCell ref="B6:B7"/>
    <mergeCell ref="B8:B9"/>
    <mergeCell ref="B10:B11"/>
    <mergeCell ref="B12:B13"/>
    <mergeCell ref="J6:J7"/>
    <mergeCell ref="J10:J11"/>
    <mergeCell ref="P2:S2"/>
    <mergeCell ref="J4:J5"/>
    <mergeCell ref="J21:L21"/>
    <mergeCell ref="P3:R4"/>
    <mergeCell ref="K3:L3"/>
    <mergeCell ref="J19:L19"/>
    <mergeCell ref="J18:L18"/>
    <mergeCell ref="N18:N22"/>
    <mergeCell ref="B27:G27"/>
    <mergeCell ref="B16:B17"/>
    <mergeCell ref="B28:G28"/>
    <mergeCell ref="B18:B19"/>
  </mergeCells>
  <conditionalFormatting sqref="J4:N5">
    <cfRule type="expression" priority="1" dxfId="1" stopIfTrue="1">
      <formula>$D$20&gt;3</formula>
    </cfRule>
  </conditionalFormatting>
  <conditionalFormatting sqref="J8:N9">
    <cfRule type="expression" priority="2" dxfId="1" stopIfTrue="1">
      <formula>$D$20&lt;=3</formula>
    </cfRule>
    <cfRule type="expression" priority="3" dxfId="1" stopIfTrue="1">
      <formula>$D$20&gt;6</formula>
    </cfRule>
  </conditionalFormatting>
  <conditionalFormatting sqref="J6:N7">
    <cfRule type="expression" priority="4" dxfId="1" stopIfTrue="1">
      <formula>$D$20&lt;=2</formula>
    </cfRule>
    <cfRule type="expression" priority="5" dxfId="1" stopIfTrue="1">
      <formula>$D$20&gt;4</formula>
    </cfRule>
  </conditionalFormatting>
  <conditionalFormatting sqref="J10:K13 L11:L13 M10:N13">
    <cfRule type="expression" priority="6" dxfId="1" stopIfTrue="1">
      <formula>$D$20&lt;=5</formula>
    </cfRule>
  </conditionalFormatting>
  <conditionalFormatting sqref="L10">
    <cfRule type="expression" priority="7" dxfId="1" stopIfTrue="1">
      <formula>$D$20&lt;=5</formula>
    </cfRule>
  </conditionalFormatting>
  <conditionalFormatting sqref="C4:E4 B4:B5">
    <cfRule type="expression" priority="8" dxfId="3" stopIfTrue="1">
      <formula>$B$3&gt;=2</formula>
    </cfRule>
  </conditionalFormatting>
  <conditionalFormatting sqref="F4">
    <cfRule type="expression" priority="9" dxfId="4" stopIfTrue="1">
      <formula>$B$3&gt;=2</formula>
    </cfRule>
  </conditionalFormatting>
  <conditionalFormatting sqref="F5">
    <cfRule type="expression" priority="10" dxfId="4" stopIfTrue="1">
      <formula>$B$3&gt;=3</formula>
    </cfRule>
  </conditionalFormatting>
  <conditionalFormatting sqref="F6">
    <cfRule type="expression" priority="11" dxfId="4" stopIfTrue="1">
      <formula>$B$3&gt;=5</formula>
    </cfRule>
  </conditionalFormatting>
  <conditionalFormatting sqref="C5:E5">
    <cfRule type="expression" priority="12" dxfId="3" stopIfTrue="1">
      <formula>$B$3&gt;=3</formula>
    </cfRule>
  </conditionalFormatting>
  <conditionalFormatting sqref="C6:E6 B6:B7">
    <cfRule type="expression" priority="13" dxfId="3" stopIfTrue="1">
      <formula>$B$3&gt;=5</formula>
    </cfRule>
  </conditionalFormatting>
  <conditionalFormatting sqref="C7:E7">
    <cfRule type="expression" priority="14" dxfId="3" stopIfTrue="1">
      <formula>$B$3&gt;=6</formula>
    </cfRule>
  </conditionalFormatting>
  <conditionalFormatting sqref="C9:D9">
    <cfRule type="expression" priority="15" dxfId="3" stopIfTrue="1">
      <formula>$B$3&gt;=9</formula>
    </cfRule>
  </conditionalFormatting>
  <conditionalFormatting sqref="F7">
    <cfRule type="expression" priority="16" dxfId="4" stopIfTrue="1">
      <formula>$B$3&gt;=6</formula>
    </cfRule>
  </conditionalFormatting>
  <conditionalFormatting sqref="B8:B9 C8:D8">
    <cfRule type="expression" priority="17" dxfId="3" stopIfTrue="1">
      <formula>$B$3&gt;=8</formula>
    </cfRule>
  </conditionalFormatting>
  <conditionalFormatting sqref="B10:B11 C10:D10">
    <cfRule type="expression" priority="18" dxfId="3" stopIfTrue="1">
      <formula>$B$3&gt;=11</formula>
    </cfRule>
  </conditionalFormatting>
  <conditionalFormatting sqref="C11:D11">
    <cfRule type="expression" priority="19" dxfId="3" stopIfTrue="1">
      <formula>$B$3&gt;=12</formula>
    </cfRule>
  </conditionalFormatting>
  <conditionalFormatting sqref="B12:B13 C12:D12">
    <cfRule type="expression" priority="20" dxfId="3" stopIfTrue="1">
      <formula>$B$3&gt;=14</formula>
    </cfRule>
  </conditionalFormatting>
  <conditionalFormatting sqref="C13:D13">
    <cfRule type="expression" priority="21" dxfId="3" stopIfTrue="1">
      <formula>$B$3&gt;=15</formula>
    </cfRule>
  </conditionalFormatting>
  <conditionalFormatting sqref="B14:B15 C14:D14">
    <cfRule type="expression" priority="22" dxfId="3" stopIfTrue="1">
      <formula>$B$3&gt;=17</formula>
    </cfRule>
  </conditionalFormatting>
  <conditionalFormatting sqref="C15:D15">
    <cfRule type="expression" priority="23" dxfId="3" stopIfTrue="1">
      <formula>$B$3&gt;=18</formula>
    </cfRule>
  </conditionalFormatting>
  <conditionalFormatting sqref="B16:B17 C16:D16">
    <cfRule type="expression" priority="24" dxfId="3" stopIfTrue="1">
      <formula>$B$3&gt;=20</formula>
    </cfRule>
  </conditionalFormatting>
  <conditionalFormatting sqref="C17:D17">
    <cfRule type="expression" priority="25" dxfId="3" stopIfTrue="1">
      <formula>$B$3&gt;=21</formula>
    </cfRule>
  </conditionalFormatting>
  <conditionalFormatting sqref="B18:B19 C18:D18">
    <cfRule type="expression" priority="26" dxfId="3" stopIfTrue="1">
      <formula>$B$3&gt;=23</formula>
    </cfRule>
  </conditionalFormatting>
  <conditionalFormatting sqref="C19:D19">
    <cfRule type="expression" priority="27" dxfId="3" stopIfTrue="1">
      <formula>$B$3&gt;=24</formula>
    </cfRule>
  </conditionalFormatting>
  <conditionalFormatting sqref="E14">
    <cfRule type="expression" priority="28" dxfId="3" stopIfTrue="1">
      <formula>$B$3&gt;=17</formula>
    </cfRule>
  </conditionalFormatting>
  <conditionalFormatting sqref="E15">
    <cfRule type="expression" priority="29" dxfId="3" stopIfTrue="1">
      <formula>$B$3&gt;=18</formula>
    </cfRule>
  </conditionalFormatting>
  <conditionalFormatting sqref="E16">
    <cfRule type="expression" priority="30" dxfId="3" stopIfTrue="1">
      <formula>$B$3&gt;=20</formula>
    </cfRule>
  </conditionalFormatting>
  <conditionalFormatting sqref="E17">
    <cfRule type="expression" priority="31" dxfId="3" stopIfTrue="1">
      <formula>$B$3&gt;=21</formula>
    </cfRule>
  </conditionalFormatting>
  <conditionalFormatting sqref="E18">
    <cfRule type="expression" priority="32" dxfId="3" stopIfTrue="1">
      <formula>$B$3&gt;=23</formula>
    </cfRule>
  </conditionalFormatting>
  <conditionalFormatting sqref="E19">
    <cfRule type="expression" priority="33" dxfId="3" stopIfTrue="1">
      <formula>$B$3&gt;=24</formula>
    </cfRule>
  </conditionalFormatting>
  <conditionalFormatting sqref="E8">
    <cfRule type="expression" priority="34" dxfId="3" stopIfTrue="1">
      <formula>$B$3&gt;=8</formula>
    </cfRule>
  </conditionalFormatting>
  <conditionalFormatting sqref="F8">
    <cfRule type="expression" priority="35" dxfId="4" stopIfTrue="1">
      <formula>$B$3&gt;=8</formula>
    </cfRule>
  </conditionalFormatting>
  <conditionalFormatting sqref="E9">
    <cfRule type="expression" priority="36" dxfId="3" stopIfTrue="1">
      <formula>$B$3&gt;=9</formula>
    </cfRule>
  </conditionalFormatting>
  <conditionalFormatting sqref="F9">
    <cfRule type="expression" priority="37" dxfId="4" stopIfTrue="1">
      <formula>$B$3&gt;=9</formula>
    </cfRule>
  </conditionalFormatting>
  <conditionalFormatting sqref="E10">
    <cfRule type="expression" priority="38" dxfId="3" stopIfTrue="1">
      <formula>$B$3&gt;=11</formula>
    </cfRule>
  </conditionalFormatting>
  <conditionalFormatting sqref="F10">
    <cfRule type="expression" priority="39" dxfId="4" stopIfTrue="1">
      <formula>$B$3&gt;=11</formula>
    </cfRule>
  </conditionalFormatting>
  <conditionalFormatting sqref="E11">
    <cfRule type="expression" priority="40" dxfId="3" stopIfTrue="1">
      <formula>$B$3&gt;=12</formula>
    </cfRule>
  </conditionalFormatting>
  <conditionalFormatting sqref="F11">
    <cfRule type="expression" priority="41" dxfId="4" stopIfTrue="1">
      <formula>$B$3&gt;=12</formula>
    </cfRule>
  </conditionalFormatting>
  <conditionalFormatting sqref="E12">
    <cfRule type="expression" priority="42" dxfId="3" stopIfTrue="1">
      <formula>$B$3&gt;=14</formula>
    </cfRule>
  </conditionalFormatting>
  <conditionalFormatting sqref="F12">
    <cfRule type="expression" priority="43" dxfId="4" stopIfTrue="1">
      <formula>$B$3&gt;=14</formula>
    </cfRule>
  </conditionalFormatting>
  <conditionalFormatting sqref="E13">
    <cfRule type="expression" priority="44" dxfId="3" stopIfTrue="1">
      <formula>$B$3&gt;=15</formula>
    </cfRule>
  </conditionalFormatting>
  <conditionalFormatting sqref="F13">
    <cfRule type="expression" priority="45" dxfId="4" stopIfTrue="1">
      <formula>$B$3&gt;=15</formula>
    </cfRule>
  </conditionalFormatting>
  <conditionalFormatting sqref="F14">
    <cfRule type="expression" priority="46" dxfId="4" stopIfTrue="1">
      <formula>$B$3&gt;=17</formula>
    </cfRule>
  </conditionalFormatting>
  <conditionalFormatting sqref="F15">
    <cfRule type="expression" priority="47" dxfId="4" stopIfTrue="1">
      <formula>$B$3&gt;=18</formula>
    </cfRule>
  </conditionalFormatting>
  <conditionalFormatting sqref="F16">
    <cfRule type="expression" priority="48" dxfId="4" stopIfTrue="1">
      <formula>$B$3&gt;=20</formula>
    </cfRule>
  </conditionalFormatting>
  <conditionalFormatting sqref="F17">
    <cfRule type="expression" priority="49" dxfId="4" stopIfTrue="1">
      <formula>$B$3&gt;=21</formula>
    </cfRule>
  </conditionalFormatting>
  <conditionalFormatting sqref="F18">
    <cfRule type="expression" priority="50" dxfId="4" stopIfTrue="1">
      <formula>$B$3&gt;=23</formula>
    </cfRule>
  </conditionalFormatting>
  <conditionalFormatting sqref="F19">
    <cfRule type="expression" priority="51" dxfId="4" stopIfTrue="1">
      <formula>$B$3&gt;=24</formula>
    </cfRule>
  </conditionalFormatting>
  <hyperlinks>
    <hyperlink ref="N24" location="Account!F5" display="Next Step"/>
  </hyperlinks>
  <printOptions gridLines="1"/>
  <pageMargins left="0.75" right="0.75" top="1" bottom="1" header="0.5" footer="0.5"/>
  <pageSetup fitToHeight="2" fitToWidth="1" horizontalDpi="300" verticalDpi="300" orientation="landscape" paperSize="9" scale="61" r:id="rId3"/>
  <headerFooter alignWithMargins="0">
    <oddHeader>&amp;CPROBLEM SOLVING EVALUATION</oddHeader>
    <oddFooter>&amp;L&amp;D&amp;CPage 5a &amp; 5b</oddFooter>
  </headerFooter>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U51"/>
  <sheetViews>
    <sheetView zoomScale="75" zoomScaleNormal="75" workbookViewId="0" topLeftCell="A1">
      <selection activeCell="F5" sqref="F5"/>
    </sheetView>
  </sheetViews>
  <sheetFormatPr defaultColWidth="9.140625" defaultRowHeight="12.75"/>
  <cols>
    <col min="1" max="1" width="2.8515625" style="0" customWidth="1"/>
    <col min="2" max="2" width="16.421875" style="0" customWidth="1"/>
    <col min="3" max="4" width="4.57421875" style="0" customWidth="1"/>
    <col min="5" max="5" width="20.8515625" style="0" customWidth="1"/>
    <col min="6" max="6" width="10.7109375" style="0" customWidth="1"/>
    <col min="7" max="7" width="0.2890625" style="0" customWidth="1"/>
    <col min="8" max="9" width="1.421875" style="0" customWidth="1"/>
    <col min="10" max="10" width="16.57421875" style="0" customWidth="1"/>
    <col min="11" max="11" width="8.421875" style="0" customWidth="1"/>
    <col min="12" max="12" width="3.57421875" style="0" customWidth="1"/>
    <col min="13" max="13" width="17.140625" style="0" customWidth="1"/>
    <col min="14" max="14" width="16.28125" style="0" customWidth="1"/>
    <col min="15" max="15" width="1.28515625" style="0" customWidth="1"/>
    <col min="16" max="17" width="9.140625" style="0" hidden="1" customWidth="1"/>
  </cols>
  <sheetData>
    <row r="1" spans="2:15" ht="4.5" customHeight="1" thickTop="1">
      <c r="B1" s="46"/>
      <c r="C1" s="14"/>
      <c r="D1" s="14"/>
      <c r="E1" s="14"/>
      <c r="F1" s="14"/>
      <c r="G1" s="14"/>
      <c r="H1" s="14"/>
      <c r="I1" s="14"/>
      <c r="J1" s="14"/>
      <c r="K1" s="14"/>
      <c r="L1" s="14"/>
      <c r="M1" s="14"/>
      <c r="N1" s="14"/>
      <c r="O1" s="15"/>
    </row>
    <row r="2" spans="2:15" ht="82.5" customHeight="1">
      <c r="B2" s="304" t="s">
        <v>145</v>
      </c>
      <c r="C2" s="305"/>
      <c r="D2" s="305"/>
      <c r="E2" s="305"/>
      <c r="F2" s="305"/>
      <c r="G2" s="305"/>
      <c r="H2" s="305"/>
      <c r="I2" s="305"/>
      <c r="J2" s="305"/>
      <c r="K2" s="305"/>
      <c r="L2" s="305"/>
      <c r="M2" s="305"/>
      <c r="N2" s="20"/>
      <c r="O2" s="21"/>
    </row>
    <row r="3" spans="2:17" ht="31.5" customHeight="1">
      <c r="B3" s="283" t="s">
        <v>415</v>
      </c>
      <c r="C3" s="284"/>
      <c r="D3" s="284"/>
      <c r="E3" s="284"/>
      <c r="F3" s="284"/>
      <c r="G3" s="20"/>
      <c r="H3" s="20"/>
      <c r="I3" s="20"/>
      <c r="J3" s="284" t="s">
        <v>416</v>
      </c>
      <c r="K3" s="284"/>
      <c r="L3" s="284"/>
      <c r="M3" s="284"/>
      <c r="N3" s="284"/>
      <c r="O3" s="21"/>
      <c r="P3" s="124" t="s">
        <v>533</v>
      </c>
      <c r="Q3" s="124" t="s">
        <v>66</v>
      </c>
    </row>
    <row r="4" spans="2:17" ht="15.75">
      <c r="B4" s="198">
        <f>Problem!H20</f>
        <v>0</v>
      </c>
      <c r="C4" s="287" t="s">
        <v>337</v>
      </c>
      <c r="D4" s="287"/>
      <c r="E4" s="22" t="s">
        <v>327</v>
      </c>
      <c r="F4" s="30" t="s">
        <v>328</v>
      </c>
      <c r="G4" s="20"/>
      <c r="H4" s="16"/>
      <c r="I4" s="16"/>
      <c r="J4" s="20"/>
      <c r="K4" s="287" t="s">
        <v>337</v>
      </c>
      <c r="L4" s="287"/>
      <c r="M4" s="22" t="s">
        <v>327</v>
      </c>
      <c r="N4" s="30" t="s">
        <v>328</v>
      </c>
      <c r="O4" s="21"/>
      <c r="P4" s="91">
        <v>920</v>
      </c>
      <c r="Q4" s="91">
        <f>IF($M$28&gt;(P5+(P4-P5)/2),P4,"")</f>
      </c>
    </row>
    <row r="5" spans="2:21" ht="54">
      <c r="B5" s="307" t="s">
        <v>56</v>
      </c>
      <c r="C5" s="180" t="s">
        <v>336</v>
      </c>
      <c r="D5" s="181">
        <f>IF(F5="","",1)</f>
      </c>
      <c r="E5" s="182"/>
      <c r="F5" s="183">
        <f>IF(Scoping!O46=1,"o","")</f>
      </c>
      <c r="G5" s="150">
        <f>IF(F5&lt;&gt;"",1,"")</f>
      </c>
      <c r="H5" s="16">
        <f>IF(F5&lt;&gt;"",1,"")</f>
      </c>
      <c r="I5" s="16">
        <f>IF(N5&lt;&gt;"",1,"")</f>
      </c>
      <c r="J5" s="309" t="s">
        <v>68</v>
      </c>
      <c r="K5" s="33" t="s">
        <v>417</v>
      </c>
      <c r="L5" s="69">
        <f>IF(N5="","",1)</f>
      </c>
      <c r="M5" s="20"/>
      <c r="N5" s="78">
        <f>IF(Scoping!N51=1,"o","")</f>
      </c>
      <c r="O5" s="21"/>
      <c r="P5" s="91">
        <v>800</v>
      </c>
      <c r="Q5" s="91">
        <f>IF($M$28&gt;(P6+(P5-P6)/2),IF($M$28&lt;(P5+(P4-P5)/2),P5,""),"")</f>
      </c>
      <c r="S5" s="31"/>
      <c r="U5" s="31"/>
    </row>
    <row r="6" spans="2:19" ht="72">
      <c r="B6" s="308"/>
      <c r="C6" s="180" t="s">
        <v>335</v>
      </c>
      <c r="D6" s="181">
        <f>IF(F6="","",2)</f>
      </c>
      <c r="E6" s="182" t="s">
        <v>447</v>
      </c>
      <c r="F6" s="183">
        <f>IF(Scoping!O46=2,"o","")</f>
      </c>
      <c r="G6" s="150">
        <f>IF(F6&lt;&gt;"",2,"")</f>
      </c>
      <c r="H6" s="16">
        <f>IF(F6&lt;&gt;"",2,"")</f>
      </c>
      <c r="I6" s="16">
        <f>IF(N6&lt;&gt;"",2,"")</f>
      </c>
      <c r="J6" s="310"/>
      <c r="K6" s="33" t="s">
        <v>418</v>
      </c>
      <c r="L6" s="69">
        <f>IF(N6="","",3)</f>
      </c>
      <c r="M6" s="20"/>
      <c r="N6" s="78">
        <f>IF(Scoping!N51=2,"o","")</f>
      </c>
      <c r="O6" s="21"/>
      <c r="P6" s="91">
        <v>700</v>
      </c>
      <c r="Q6" s="91">
        <f aca="true" t="shared" si="0" ref="Q6:Q38">IF($M$28&gt;(P7+(P6-P7)/2),IF($M$28&lt;(P6+(P5-P6)/2),P6,""),"")</f>
      </c>
      <c r="S6" s="31"/>
    </row>
    <row r="7" spans="2:19" ht="54">
      <c r="B7" s="308"/>
      <c r="C7" s="180" t="s">
        <v>334</v>
      </c>
      <c r="D7" s="181">
        <f>IF(F7="","",3)</f>
      </c>
      <c r="E7" s="182" t="s">
        <v>448</v>
      </c>
      <c r="F7" s="183">
        <f>IF(Scoping!O46=3,"o","")</f>
      </c>
      <c r="G7" s="150">
        <f>IF(F7&lt;&gt;"",3,"")</f>
      </c>
      <c r="H7" s="16">
        <f>IF(F7&lt;&gt;"",3,"")</f>
      </c>
      <c r="I7" s="16">
        <f>IF(N7&lt;&gt;"",3,"")</f>
      </c>
      <c r="J7" s="310"/>
      <c r="K7" s="33" t="s">
        <v>419</v>
      </c>
      <c r="L7" s="69">
        <f>IF(N7="","",5)</f>
      </c>
      <c r="M7" s="20"/>
      <c r="N7" s="78">
        <f>IF(Scoping!N51=3,"o","")</f>
      </c>
      <c r="O7" s="21"/>
      <c r="P7" s="91">
        <v>608</v>
      </c>
      <c r="Q7" s="91">
        <f t="shared" si="0"/>
      </c>
      <c r="S7" s="31"/>
    </row>
    <row r="8" spans="2:19" ht="89.25">
      <c r="B8" s="307" t="s">
        <v>57</v>
      </c>
      <c r="C8" s="180" t="s">
        <v>336</v>
      </c>
      <c r="D8" s="181">
        <f>IF(F8="","",4)</f>
      </c>
      <c r="E8" s="182" t="s">
        <v>449</v>
      </c>
      <c r="F8" s="183">
        <f>IF(Scoping!O46=4,"0","")</f>
      </c>
      <c r="G8" s="150">
        <f>IF(F8&lt;&gt;"",1,"")</f>
      </c>
      <c r="H8" s="16">
        <f>IF(F8&lt;&gt;"",4,"")</f>
      </c>
      <c r="I8" s="16">
        <f>IF(N8&lt;&gt;"",4,"")</f>
      </c>
      <c r="J8" s="310"/>
      <c r="K8" s="33" t="s">
        <v>420</v>
      </c>
      <c r="L8" s="69">
        <f>IF(N8="","",7)</f>
      </c>
      <c r="M8" s="20"/>
      <c r="N8" s="78">
        <f>IF(Scoping!N51=4,"o","")</f>
      </c>
      <c r="O8" s="21"/>
      <c r="P8" s="91">
        <v>528</v>
      </c>
      <c r="Q8" s="91">
        <f t="shared" si="0"/>
      </c>
      <c r="S8" s="31"/>
    </row>
    <row r="9" spans="2:19" ht="89.25">
      <c r="B9" s="308"/>
      <c r="C9" s="180" t="s">
        <v>335</v>
      </c>
      <c r="D9" s="181">
        <f>IF(F9="","",5)</f>
      </c>
      <c r="E9" s="182" t="s">
        <v>450</v>
      </c>
      <c r="F9" s="183">
        <f>IF(Scoping!O46=5,"o","")</f>
      </c>
      <c r="G9" s="150">
        <f>IF(F9&lt;&gt;"",2,"")</f>
      </c>
      <c r="H9" s="16">
        <f>IF(F9&lt;&gt;"",5,"")</f>
      </c>
      <c r="I9" s="16">
        <f>IF(N9&lt;&gt;"",5,"")</f>
      </c>
      <c r="J9" s="310"/>
      <c r="K9" s="33" t="s">
        <v>423</v>
      </c>
      <c r="L9" s="69">
        <f>IF(N9="","",9)</f>
      </c>
      <c r="M9" s="20"/>
      <c r="N9" s="78">
        <f>IF(Scoping!N51=5,"o","")</f>
      </c>
      <c r="O9" s="21"/>
      <c r="P9" s="91">
        <v>460</v>
      </c>
      <c r="Q9" s="91">
        <f t="shared" si="0"/>
      </c>
      <c r="S9" s="31"/>
    </row>
    <row r="10" spans="2:19" ht="63.75">
      <c r="B10" s="308"/>
      <c r="C10" s="180" t="s">
        <v>334</v>
      </c>
      <c r="D10" s="181">
        <f>IF(F10="","",6)</f>
      </c>
      <c r="E10" s="182" t="s">
        <v>451</v>
      </c>
      <c r="F10" s="183">
        <f>IF(Scoping!O46=6,"o","")</f>
      </c>
      <c r="G10" s="150">
        <f>IF(F10&lt;&gt;"",3,"")</f>
      </c>
      <c r="H10" s="16">
        <f>IF(F10&lt;&gt;"",6,"")</f>
      </c>
      <c r="I10" s="16">
        <f>IF(N10&lt;&gt;"",6,"")</f>
      </c>
      <c r="J10" s="309" t="s">
        <v>147</v>
      </c>
      <c r="K10" s="33" t="s">
        <v>421</v>
      </c>
      <c r="L10" s="69">
        <f>IF(N10="","",3)</f>
      </c>
      <c r="M10" s="7"/>
      <c r="N10" s="78">
        <f>IF(Scoping!O51=1,"o","")</f>
      </c>
      <c r="O10" s="21"/>
      <c r="P10" s="91">
        <v>400</v>
      </c>
      <c r="Q10" s="91">
        <f t="shared" si="0"/>
      </c>
      <c r="S10" s="31"/>
    </row>
    <row r="11" spans="2:19" ht="89.25">
      <c r="B11" s="307" t="s">
        <v>58</v>
      </c>
      <c r="C11" s="180" t="s">
        <v>336</v>
      </c>
      <c r="D11" s="181">
        <f>IF(F11="","",7)</f>
      </c>
      <c r="E11" s="182" t="s">
        <v>452</v>
      </c>
      <c r="F11" s="183">
        <f>IF(Scoping!O46=7,"o","")</f>
      </c>
      <c r="G11" s="150">
        <f>IF(F11&lt;&gt;"",1,"")</f>
      </c>
      <c r="H11" s="16">
        <f>IF(F11&lt;&gt;"",7,"")</f>
      </c>
      <c r="I11" s="16">
        <f>IF(N11&lt;&gt;"",7,"")</f>
      </c>
      <c r="J11" s="309"/>
      <c r="K11" s="33" t="s">
        <v>422</v>
      </c>
      <c r="L11" s="69">
        <f>IF(N11="","",5)</f>
      </c>
      <c r="M11" s="7"/>
      <c r="N11" s="78">
        <f>IF(Scoping!O51=2,"o","")</f>
      </c>
      <c r="O11" s="21"/>
      <c r="P11" s="91">
        <v>350</v>
      </c>
      <c r="Q11" s="91">
        <f t="shared" si="0"/>
      </c>
      <c r="S11" s="31"/>
    </row>
    <row r="12" spans="2:19" ht="127.5">
      <c r="B12" s="308"/>
      <c r="C12" s="180" t="s">
        <v>335</v>
      </c>
      <c r="D12" s="181">
        <f>IF(F12="","",8)</f>
      </c>
      <c r="E12" s="182" t="s">
        <v>453</v>
      </c>
      <c r="F12" s="183">
        <f>IF(Scoping!O46=8,"o","")</f>
      </c>
      <c r="G12" s="150">
        <f>IF(F12&lt;&gt;"",2,"")</f>
      </c>
      <c r="H12" s="16">
        <f>IF(F12&lt;&gt;"",8,"")</f>
      </c>
      <c r="I12" s="16">
        <f>IF(N12&lt;&gt;"",8,"")</f>
      </c>
      <c r="J12" s="309"/>
      <c r="K12" s="33" t="s">
        <v>424</v>
      </c>
      <c r="L12" s="69">
        <f>IF(N12="","",7)</f>
      </c>
      <c r="M12" s="7"/>
      <c r="N12" s="78">
        <f>IF(Scoping!O51=3,"o","")</f>
      </c>
      <c r="O12" s="21"/>
      <c r="P12" s="91">
        <v>304</v>
      </c>
      <c r="Q12" s="91">
        <f t="shared" si="0"/>
      </c>
      <c r="S12" s="31"/>
    </row>
    <row r="13" spans="2:19" ht="102">
      <c r="B13" s="308"/>
      <c r="C13" s="180" t="s">
        <v>334</v>
      </c>
      <c r="D13" s="181">
        <f>IF(F13="","",9)</f>
      </c>
      <c r="E13" s="182" t="s">
        <v>454</v>
      </c>
      <c r="F13" s="183">
        <f>IF(Scoping!O46=9,"o","")</f>
      </c>
      <c r="G13" s="150">
        <f>IF(F13&lt;&gt;"",3,"")</f>
      </c>
      <c r="H13" s="16">
        <f>IF(F13&lt;&gt;"",9,"")</f>
      </c>
      <c r="I13" s="16">
        <f>IF(N13&lt;&gt;"",9,"")</f>
      </c>
      <c r="J13" s="309"/>
      <c r="K13" s="33" t="s">
        <v>425</v>
      </c>
      <c r="L13" s="69">
        <f>IF(N13="","",9)</f>
      </c>
      <c r="M13" s="7"/>
      <c r="N13" s="78">
        <f>IF(Scoping!O51=4,"o","")</f>
      </c>
      <c r="O13" s="21"/>
      <c r="P13" s="91">
        <v>264</v>
      </c>
      <c r="Q13" s="91">
        <f t="shared" si="0"/>
      </c>
      <c r="S13" s="31"/>
    </row>
    <row r="14" spans="2:19" ht="63.75">
      <c r="B14" s="307" t="s">
        <v>59</v>
      </c>
      <c r="C14" s="180" t="s">
        <v>336</v>
      </c>
      <c r="D14" s="181">
        <f>IF(F14="","",10)</f>
      </c>
      <c r="E14" s="182" t="s">
        <v>455</v>
      </c>
      <c r="F14" s="183">
        <f>IF(Scoping!O46=10,"o","")</f>
      </c>
      <c r="G14" s="150">
        <f>IF(F14&lt;&gt;"",1,"")</f>
      </c>
      <c r="H14" s="16">
        <f>IF(F14&lt;&gt;"",10,"")</f>
      </c>
      <c r="I14" s="16">
        <f>IF(N14&lt;&gt;"",10,"")</f>
      </c>
      <c r="J14" s="309" t="s">
        <v>148</v>
      </c>
      <c r="K14" s="33" t="s">
        <v>421</v>
      </c>
      <c r="L14" s="69">
        <f>IF(N14="","",5)</f>
      </c>
      <c r="M14" s="7"/>
      <c r="N14" s="78">
        <f>IF(Scoping!O51=5,"o","")</f>
      </c>
      <c r="O14" s="21"/>
      <c r="P14" s="91">
        <v>230</v>
      </c>
      <c r="Q14" s="91">
        <f t="shared" si="0"/>
      </c>
      <c r="S14" s="31"/>
    </row>
    <row r="15" spans="2:19" ht="72">
      <c r="B15" s="308"/>
      <c r="C15" s="180" t="s">
        <v>335</v>
      </c>
      <c r="D15" s="181">
        <f>IF(F15="","",11)</f>
      </c>
      <c r="E15" s="182" t="s">
        <v>456</v>
      </c>
      <c r="F15" s="183">
        <f>IF(Scoping!O46=11,"o","")</f>
      </c>
      <c r="G15" s="150">
        <f>IF(F15&lt;&gt;"",2,"")</f>
      </c>
      <c r="H15" s="16">
        <f>IF(F15&lt;&gt;"",11,"")</f>
      </c>
      <c r="I15" s="16">
        <f>IF(N15&lt;&gt;"",11,"")</f>
      </c>
      <c r="J15" s="309"/>
      <c r="K15" s="33" t="s">
        <v>422</v>
      </c>
      <c r="L15" s="69">
        <f>IF(N15="","",7)</f>
      </c>
      <c r="M15" s="7"/>
      <c r="N15" s="78">
        <f>IF(Scoping!O51=6,"o","")</f>
      </c>
      <c r="O15" s="21"/>
      <c r="P15" s="91">
        <v>200</v>
      </c>
      <c r="Q15" s="91">
        <f t="shared" si="0"/>
      </c>
      <c r="S15" s="31"/>
    </row>
    <row r="16" spans="2:19" ht="89.25">
      <c r="B16" s="308"/>
      <c r="C16" s="180" t="s">
        <v>334</v>
      </c>
      <c r="D16" s="181">
        <f>IF(F16="","",12)</f>
      </c>
      <c r="E16" s="182" t="s">
        <v>457</v>
      </c>
      <c r="F16" s="183">
        <f>IF(Scoping!O46=12,"o","")</f>
      </c>
      <c r="G16" s="150">
        <f>IF(F16&lt;&gt;"",3,"")</f>
      </c>
      <c r="H16" s="16">
        <f>IF(F16&lt;&gt;"",12,"")</f>
      </c>
      <c r="I16" s="16">
        <f>IF(N16&lt;&gt;"",12,"")</f>
      </c>
      <c r="J16" s="309"/>
      <c r="K16" s="33" t="s">
        <v>424</v>
      </c>
      <c r="L16" s="69">
        <f>IF(N16="","",9)</f>
      </c>
      <c r="M16" s="7"/>
      <c r="N16" s="78">
        <f>IF(Scoping!O51=7,"o","")</f>
      </c>
      <c r="O16" s="21"/>
      <c r="P16" s="91">
        <v>175</v>
      </c>
      <c r="Q16" s="91">
        <f t="shared" si="0"/>
      </c>
      <c r="S16" s="31"/>
    </row>
    <row r="17" spans="2:19" ht="140.25">
      <c r="B17" s="307" t="s">
        <v>60</v>
      </c>
      <c r="C17" s="180" t="s">
        <v>336</v>
      </c>
      <c r="D17" s="181">
        <f>IF(F17="","",13)</f>
      </c>
      <c r="E17" s="182" t="s">
        <v>458</v>
      </c>
      <c r="F17" s="183">
        <f>IF(Scoping!O46=13,"o","")</f>
      </c>
      <c r="G17" s="150">
        <f>IF(F17&lt;&gt;"",1,"")</f>
      </c>
      <c r="H17" s="16">
        <f>IF(F17&lt;&gt;"",13,"")</f>
      </c>
      <c r="I17" s="16">
        <f>IF(N17&lt;&gt;"",13,"")</f>
      </c>
      <c r="J17" s="309"/>
      <c r="K17" s="33" t="s">
        <v>425</v>
      </c>
      <c r="L17" s="69">
        <f>IF(N17="","",11)</f>
      </c>
      <c r="M17" s="7"/>
      <c r="N17" s="78">
        <f>IF(Scoping!O51=8,"o","")</f>
      </c>
      <c r="O17" s="21"/>
      <c r="P17" s="91">
        <v>152</v>
      </c>
      <c r="Q17" s="91">
        <f t="shared" si="0"/>
      </c>
      <c r="S17" s="31"/>
    </row>
    <row r="18" spans="2:19" ht="76.5">
      <c r="B18" s="308"/>
      <c r="C18" s="180" t="s">
        <v>335</v>
      </c>
      <c r="D18" s="181">
        <f>IF(F18="","",14)</f>
      </c>
      <c r="E18" s="182" t="s">
        <v>459</v>
      </c>
      <c r="F18" s="183">
        <f>IF(Scoping!O46=14,"o","")</f>
      </c>
      <c r="G18" s="150">
        <f>IF(F18&lt;&gt;"",2,"")</f>
      </c>
      <c r="H18" s="16">
        <f>IF(F18&lt;&gt;"",14,"")</f>
      </c>
      <c r="I18" s="16">
        <f>IF(N18&lt;&gt;"",14,"")</f>
      </c>
      <c r="J18" s="309" t="s">
        <v>149</v>
      </c>
      <c r="K18" s="33" t="s">
        <v>421</v>
      </c>
      <c r="L18" s="69">
        <f>IF(N18="","",7)</f>
      </c>
      <c r="M18" s="7"/>
      <c r="N18" s="78">
        <f>IF(Scoping!O51=9,"o","")</f>
      </c>
      <c r="O18" s="21"/>
      <c r="P18" s="91">
        <v>132</v>
      </c>
      <c r="Q18" s="91">
        <f t="shared" si="0"/>
      </c>
      <c r="S18" s="31"/>
    </row>
    <row r="19" spans="2:19" ht="127.5">
      <c r="B19" s="308"/>
      <c r="C19" s="180" t="s">
        <v>334</v>
      </c>
      <c r="D19" s="181">
        <f>IF(F19="","",15)</f>
      </c>
      <c r="E19" s="182" t="s">
        <v>460</v>
      </c>
      <c r="F19" s="183">
        <f>IF(Scoping!O46=15,"o","")</f>
      </c>
      <c r="G19" s="150">
        <f>IF(F19&lt;&gt;"",3,"")</f>
      </c>
      <c r="H19" s="16">
        <f>IF(F19&lt;&gt;"",15,"")</f>
      </c>
      <c r="I19" s="16">
        <f>IF(N19&lt;&gt;"",15,"")</f>
      </c>
      <c r="J19" s="309"/>
      <c r="K19" s="33" t="s">
        <v>422</v>
      </c>
      <c r="L19" s="69">
        <f>IF(N19="","",9)</f>
      </c>
      <c r="M19" s="7"/>
      <c r="N19" s="78">
        <f>IF(Scoping!O51=10,"o","")</f>
      </c>
      <c r="O19" s="21"/>
      <c r="P19" s="91">
        <v>115</v>
      </c>
      <c r="Q19" s="91">
        <f t="shared" si="0"/>
      </c>
      <c r="S19" s="31"/>
    </row>
    <row r="20" spans="2:19" ht="54">
      <c r="B20" s="307" t="s">
        <v>62</v>
      </c>
      <c r="C20" s="180" t="s">
        <v>336</v>
      </c>
      <c r="D20" s="181">
        <f>IF(F20="","",16)</f>
      </c>
      <c r="E20" s="182" t="s">
        <v>461</v>
      </c>
      <c r="F20" s="183">
        <f>IF(Scoping!O46=16,"o","")</f>
      </c>
      <c r="G20" s="150">
        <f>IF(F20&lt;&gt;"",1,"")</f>
      </c>
      <c r="H20" s="16">
        <f>IF(F20&lt;&gt;"",16,"")</f>
      </c>
      <c r="I20" s="16">
        <f>IF(N20&lt;&gt;"",16,"")</f>
      </c>
      <c r="J20" s="309"/>
      <c r="K20" s="33" t="s">
        <v>424</v>
      </c>
      <c r="L20" s="69">
        <f>IF(N20="","",11)</f>
      </c>
      <c r="M20" s="7"/>
      <c r="N20" s="78">
        <f>IF(Scoping!O51=11,"o","")</f>
      </c>
      <c r="O20" s="21"/>
      <c r="P20" s="91">
        <v>100</v>
      </c>
      <c r="Q20" s="91">
        <f t="shared" si="0"/>
      </c>
      <c r="S20" s="31"/>
    </row>
    <row r="21" spans="2:19" ht="54">
      <c r="B21" s="308"/>
      <c r="C21" s="180" t="s">
        <v>335</v>
      </c>
      <c r="D21" s="181">
        <f>IF(F21="","",17)</f>
      </c>
      <c r="E21" s="182" t="s">
        <v>462</v>
      </c>
      <c r="F21" s="183">
        <f>IF(Scoping!O46=17,"o","")</f>
      </c>
      <c r="G21" s="150">
        <f>IF(F21&lt;&gt;"",2,"")</f>
      </c>
      <c r="H21" s="16">
        <f>IF(F21&lt;&gt;"",17,"")</f>
      </c>
      <c r="I21" s="16">
        <f>IF(N21&lt;&gt;"",17,"")</f>
      </c>
      <c r="J21" s="309"/>
      <c r="K21" s="33" t="s">
        <v>425</v>
      </c>
      <c r="L21" s="69">
        <f>IF(N21="","",13)</f>
      </c>
      <c r="M21" s="7"/>
      <c r="N21" s="78">
        <f>IF(Scoping!O51=12,"o","")</f>
      </c>
      <c r="O21" s="21"/>
      <c r="P21" s="91">
        <v>87</v>
      </c>
      <c r="Q21" s="91">
        <f t="shared" si="0"/>
      </c>
      <c r="S21" s="31"/>
    </row>
    <row r="22" spans="2:19" ht="54">
      <c r="B22" s="308"/>
      <c r="C22" s="180" t="s">
        <v>334</v>
      </c>
      <c r="D22" s="181">
        <f>IF(F22="","",18)</f>
      </c>
      <c r="E22" s="182" t="s">
        <v>463</v>
      </c>
      <c r="F22" s="183">
        <f>IF(Scoping!O46=18,"o","")</f>
      </c>
      <c r="G22" s="150">
        <f>IF(F22&lt;&gt;"",3,"")</f>
      </c>
      <c r="H22" s="16">
        <f>IF(F22&lt;&gt;"",18,"")</f>
      </c>
      <c r="I22" s="16">
        <f>IF(N22&lt;&gt;"",18,"")</f>
      </c>
      <c r="J22" s="309" t="s">
        <v>150</v>
      </c>
      <c r="K22" s="33" t="s">
        <v>421</v>
      </c>
      <c r="L22" s="69">
        <f>IF(N22="","",9)</f>
      </c>
      <c r="M22" s="7"/>
      <c r="N22" s="78">
        <f>IF(Scoping!O51=13,"o","")</f>
      </c>
      <c r="O22" s="21"/>
      <c r="P22" s="91">
        <v>76</v>
      </c>
      <c r="Q22" s="91">
        <f t="shared" si="0"/>
      </c>
      <c r="S22" s="31"/>
    </row>
    <row r="23" spans="2:19" ht="40.5" customHeight="1">
      <c r="B23" s="307" t="s">
        <v>61</v>
      </c>
      <c r="C23" s="180" t="s">
        <v>336</v>
      </c>
      <c r="D23" s="181">
        <f>IF(F23="","",19)</f>
      </c>
      <c r="E23" s="182"/>
      <c r="F23" s="183">
        <f>IF(Scoping!O46=19,"o","")</f>
      </c>
      <c r="G23" s="150">
        <f>IF(F23&lt;&gt;"",1,"")</f>
      </c>
      <c r="H23" s="16">
        <f>IF(F23&lt;&gt;"",19,"")</f>
      </c>
      <c r="I23" s="16">
        <f>IF(N23&lt;&gt;"",19,"")</f>
      </c>
      <c r="J23" s="310"/>
      <c r="K23" s="33" t="s">
        <v>422</v>
      </c>
      <c r="L23" s="69">
        <f>IF(N23="","",11)</f>
      </c>
      <c r="M23" s="7"/>
      <c r="N23" s="78">
        <f>IF(Scoping!O51=14,"o","")</f>
      </c>
      <c r="O23" s="21"/>
      <c r="P23" s="91">
        <v>66</v>
      </c>
      <c r="Q23" s="91">
        <f t="shared" si="0"/>
      </c>
      <c r="S23" s="31"/>
    </row>
    <row r="24" spans="2:19" ht="54">
      <c r="B24" s="308"/>
      <c r="C24" s="180" t="s">
        <v>335</v>
      </c>
      <c r="D24" s="181">
        <f>IF(F24="","",20)</f>
      </c>
      <c r="E24" s="182"/>
      <c r="F24" s="183">
        <f>IF(Scoping!O46=20,"o","")</f>
      </c>
      <c r="G24" s="150">
        <f>IF(F24&lt;&gt;"",2,"")</f>
      </c>
      <c r="H24" s="16">
        <f>IF(F24&lt;&gt;"",20,"")</f>
      </c>
      <c r="I24" s="16">
        <f>IF(N24&lt;&gt;"",20,"")</f>
      </c>
      <c r="J24" s="310"/>
      <c r="K24" s="33" t="s">
        <v>424</v>
      </c>
      <c r="L24" s="69">
        <f>IF(N24="","",13)</f>
      </c>
      <c r="M24" s="7"/>
      <c r="N24" s="78">
        <f>IF(Scoping!O51=15,"o","")</f>
      </c>
      <c r="O24" s="21"/>
      <c r="P24" s="91">
        <v>57</v>
      </c>
      <c r="Q24" s="91">
        <f t="shared" si="0"/>
      </c>
      <c r="S24" s="31"/>
    </row>
    <row r="25" spans="2:19" ht="54.75" thickBot="1">
      <c r="B25" s="308"/>
      <c r="C25" s="180" t="s">
        <v>334</v>
      </c>
      <c r="D25" s="181">
        <f>IF(F25="","",21)</f>
      </c>
      <c r="E25" s="182"/>
      <c r="F25" s="183">
        <f>IF(Scoping!O46=21,"o","")</f>
      </c>
      <c r="G25" s="150">
        <f>IF(F25&lt;&gt;"",3,"")</f>
      </c>
      <c r="H25" s="16">
        <f>IF(F25&lt;&gt;"",21,"")</f>
      </c>
      <c r="I25" s="16">
        <f>IF(N25&lt;&gt;"",21,"")</f>
      </c>
      <c r="J25" s="310"/>
      <c r="K25" s="33" t="s">
        <v>425</v>
      </c>
      <c r="L25" s="69">
        <f>IF(N25="","",15)</f>
      </c>
      <c r="M25" s="7"/>
      <c r="N25" s="78">
        <f>IF(Scoping!O51=16,"o","")</f>
      </c>
      <c r="O25" s="21"/>
      <c r="P25" s="91">
        <v>50</v>
      </c>
      <c r="Q25" s="91">
        <f t="shared" si="0"/>
      </c>
      <c r="S25" s="31"/>
    </row>
    <row r="26" spans="2:19" ht="38.25" customHeight="1" thickBot="1" thickTop="1">
      <c r="B26" s="45"/>
      <c r="C26" s="28"/>
      <c r="D26" s="158">
        <f>SUM(D5:D25)</f>
        <v>0</v>
      </c>
      <c r="E26" s="77" t="s">
        <v>338</v>
      </c>
      <c r="F26" s="151"/>
      <c r="G26" s="158">
        <f>SUM(G5:G25)</f>
        <v>0</v>
      </c>
      <c r="H26" s="16">
        <f>SUM(H5:H25)</f>
        <v>0</v>
      </c>
      <c r="I26" s="16">
        <f>SUM(I5:I25)</f>
        <v>0</v>
      </c>
      <c r="J26" s="302" t="s">
        <v>426</v>
      </c>
      <c r="K26" s="157" t="s">
        <v>71</v>
      </c>
      <c r="L26" s="158">
        <f>SUM(L2:L25)</f>
        <v>0</v>
      </c>
      <c r="M26" s="123" t="s">
        <v>72</v>
      </c>
      <c r="N26" s="159" t="str">
        <f>IF(F30=2,"++",IF(F30=1,"+",IF(F30=0,"=",IF(F30=(-1),"-",IF(F30=(-2),"--","")))))</f>
        <v>=</v>
      </c>
      <c r="O26" s="21"/>
      <c r="P26" s="91">
        <v>43</v>
      </c>
      <c r="Q26" s="91">
        <f t="shared" si="0"/>
      </c>
      <c r="S26" s="31"/>
    </row>
    <row r="27" spans="2:19" ht="27.75" customHeight="1" thickBot="1" thickTop="1">
      <c r="B27" s="45"/>
      <c r="C27" s="28"/>
      <c r="D27" s="7"/>
      <c r="E27" s="8"/>
      <c r="F27" s="151">
        <f>IF(G26=1,IF(L29=2,2,IF(L29=1,1,"")),"")</f>
      </c>
      <c r="G27" s="152"/>
      <c r="H27" s="16"/>
      <c r="I27" s="16"/>
      <c r="J27" s="302"/>
      <c r="K27" s="153" t="s">
        <v>69</v>
      </c>
      <c r="L27" s="156"/>
      <c r="M27" s="132" t="s">
        <v>532</v>
      </c>
      <c r="N27" s="22" t="s">
        <v>525</v>
      </c>
      <c r="O27" s="21"/>
      <c r="P27" s="91">
        <v>38</v>
      </c>
      <c r="Q27" s="91">
        <f t="shared" si="0"/>
      </c>
      <c r="S27" s="31"/>
    </row>
    <row r="28" spans="2:19" ht="29.25" customHeight="1" thickBot="1" thickTop="1">
      <c r="B28" s="45"/>
      <c r="C28" s="28"/>
      <c r="D28" s="7"/>
      <c r="E28" s="8"/>
      <c r="F28" s="151">
        <f>IF(G26=2,IF(L29=2,1,IF(L29=1,1,IF(L29=(-1),(-1),IF(L29=(-2),(-1),"")))),"")</f>
      </c>
      <c r="G28" s="152"/>
      <c r="H28" s="16"/>
      <c r="I28" s="16"/>
      <c r="J28" s="302"/>
      <c r="K28" s="154" t="s">
        <v>70</v>
      </c>
      <c r="L28" s="155"/>
      <c r="M28" s="149">
        <f>8.05*1.15^(D26+L26-2+F30)</f>
        <v>6.086956521739132</v>
      </c>
      <c r="N28" s="44">
        <f>Q40</f>
        <v>0</v>
      </c>
      <c r="O28" s="21"/>
      <c r="P28" s="91">
        <v>33</v>
      </c>
      <c r="Q28" s="91">
        <f t="shared" si="0"/>
      </c>
      <c r="S28" s="31"/>
    </row>
    <row r="29" spans="2:19" ht="30.75" customHeight="1" thickTop="1">
      <c r="B29" s="17"/>
      <c r="C29" s="8"/>
      <c r="D29" s="8"/>
      <c r="E29" s="8"/>
      <c r="F29" s="151">
        <f>IF(G26=3,IF(L29=(-2),(-2),IF(L29=(-1),(-1),"")),"")</f>
      </c>
      <c r="G29" s="152"/>
      <c r="H29" s="60"/>
      <c r="I29" s="60"/>
      <c r="J29" s="301" t="s">
        <v>340</v>
      </c>
      <c r="K29" s="301"/>
      <c r="L29" s="158">
        <f>L27-L28</f>
        <v>0</v>
      </c>
      <c r="M29" s="306">
        <f>IF($D$26&lt;3,IF($L$26&gt;7,"Caution! Unusual or not allowed",""),"")</f>
      </c>
      <c r="N29" s="306"/>
      <c r="O29" s="21"/>
      <c r="P29" s="91">
        <v>29</v>
      </c>
      <c r="Q29" s="91">
        <f t="shared" si="0"/>
      </c>
      <c r="S29" s="31"/>
    </row>
    <row r="30" spans="2:19" ht="33.75" customHeight="1" thickBot="1">
      <c r="B30" s="17"/>
      <c r="C30" s="20"/>
      <c r="D30" s="20"/>
      <c r="E30" s="20"/>
      <c r="F30" s="158">
        <f>SUM(F27:F29)</f>
        <v>0</v>
      </c>
      <c r="G30" s="152"/>
      <c r="H30" s="20"/>
      <c r="I30" s="20"/>
      <c r="J30" s="299" t="s">
        <v>427</v>
      </c>
      <c r="K30" s="299"/>
      <c r="L30" s="59"/>
      <c r="M30" s="306">
        <f>IF($D$26&lt;6,IF($L$26&gt;9,"Caution! Unusual or not allowed",""),"")</f>
      </c>
      <c r="N30" s="306"/>
      <c r="O30" s="21"/>
      <c r="P30" s="91">
        <v>25</v>
      </c>
      <c r="Q30" s="91">
        <f t="shared" si="0"/>
      </c>
      <c r="S30" s="31"/>
    </row>
    <row r="31" spans="2:19" ht="21.75" thickBot="1" thickTop="1">
      <c r="B31" s="17"/>
      <c r="C31" s="20"/>
      <c r="D31" s="20"/>
      <c r="E31" s="20"/>
      <c r="F31" s="20"/>
      <c r="G31" s="20"/>
      <c r="H31" s="20"/>
      <c r="I31" s="20"/>
      <c r="J31" s="196" t="e">
        <f>VLOOKUP(H26,Indexes,6)</f>
        <v>#N/A</v>
      </c>
      <c r="K31" s="20"/>
      <c r="L31" s="20"/>
      <c r="M31" s="306">
        <f>IF($D$26&lt;9,IF($L$26&gt;7,"Caution! Unusual or not allowed",""),"")</f>
      </c>
      <c r="N31" s="306"/>
      <c r="O31" s="21"/>
      <c r="P31" s="91">
        <v>22</v>
      </c>
      <c r="Q31" s="91">
        <f t="shared" si="0"/>
      </c>
      <c r="S31" s="31"/>
    </row>
    <row r="32" spans="2:19" ht="30.75" customHeight="1" thickBot="1" thickTop="1">
      <c r="B32" s="35"/>
      <c r="C32" s="20"/>
      <c r="D32" s="20"/>
      <c r="E32" s="20"/>
      <c r="F32" s="20"/>
      <c r="G32" s="20"/>
      <c r="H32" s="20"/>
      <c r="I32" s="20"/>
      <c r="J32" s="299" t="s">
        <v>428</v>
      </c>
      <c r="K32" s="299"/>
      <c r="L32" s="59"/>
      <c r="M32" s="306">
        <f>IF($D$26&lt;12,IF($L$26&gt;11,"Caution! Unusual or not allowed",""),"")</f>
      </c>
      <c r="N32" s="306"/>
      <c r="O32" s="21"/>
      <c r="P32" s="91">
        <v>19</v>
      </c>
      <c r="Q32" s="91">
        <f t="shared" si="0"/>
      </c>
      <c r="S32" s="31"/>
    </row>
    <row r="33" spans="2:19" ht="21.75" thickBot="1" thickTop="1">
      <c r="B33" s="35"/>
      <c r="C33" s="20"/>
      <c r="D33" s="20"/>
      <c r="E33" s="20"/>
      <c r="F33" s="20"/>
      <c r="G33" s="20"/>
      <c r="H33" s="20"/>
      <c r="I33" s="20"/>
      <c r="J33" s="196" t="e">
        <f>VLOOKUP(I26,Indexes,7)</f>
        <v>#N/A</v>
      </c>
      <c r="K33" s="20"/>
      <c r="L33" s="20"/>
      <c r="M33" s="306">
        <f>IF($D$26&gt;10,IF($L$26&lt;3,"Caution! Unusual or not allowed",""),"")</f>
      </c>
      <c r="N33" s="306"/>
      <c r="O33" s="21"/>
      <c r="P33" s="91">
        <v>16</v>
      </c>
      <c r="Q33" s="91">
        <f t="shared" si="0"/>
      </c>
      <c r="S33" s="31"/>
    </row>
    <row r="34" spans="2:19" ht="13.5" thickTop="1">
      <c r="B34" s="35"/>
      <c r="C34" s="20"/>
      <c r="D34" s="20"/>
      <c r="E34" s="20"/>
      <c r="F34" s="20"/>
      <c r="G34" s="20"/>
      <c r="H34" s="20"/>
      <c r="I34" s="20"/>
      <c r="J34" s="20"/>
      <c r="K34" s="20"/>
      <c r="L34" s="20"/>
      <c r="M34" s="306">
        <f>IF($D$26&gt;13,IF($L$26&lt;7,"Caution! Unusual or not allowed",""),"")</f>
      </c>
      <c r="N34" s="306"/>
      <c r="O34" s="21"/>
      <c r="P34" s="91">
        <v>14</v>
      </c>
      <c r="Q34" s="91">
        <f t="shared" si="0"/>
      </c>
      <c r="S34" s="31"/>
    </row>
    <row r="35" spans="2:19" ht="12.75">
      <c r="B35" s="35"/>
      <c r="C35" s="20"/>
      <c r="D35" s="20"/>
      <c r="E35" s="20"/>
      <c r="F35" s="20"/>
      <c r="G35" s="20"/>
      <c r="H35" s="20"/>
      <c r="I35" s="20"/>
      <c r="J35" s="303"/>
      <c r="K35" s="303"/>
      <c r="L35" s="20"/>
      <c r="M35" s="306">
        <f>IF($D$26&gt;16,IF($L$26&lt;9,"Caution! Unusual or not allowed",""),"")</f>
      </c>
      <c r="N35" s="306"/>
      <c r="O35" s="21"/>
      <c r="P35" s="91">
        <v>12</v>
      </c>
      <c r="Q35" s="91">
        <f t="shared" si="0"/>
      </c>
      <c r="S35" s="31"/>
    </row>
    <row r="36" spans="2:19" ht="12.75">
      <c r="B36" s="35"/>
      <c r="C36" s="20"/>
      <c r="D36" s="20"/>
      <c r="E36" s="20"/>
      <c r="F36" s="20"/>
      <c r="G36" s="20"/>
      <c r="H36" s="20"/>
      <c r="I36" s="20"/>
      <c r="J36" s="303"/>
      <c r="K36" s="303"/>
      <c r="L36" s="20"/>
      <c r="M36" s="306">
        <f>IF($D$26&gt;19,IF($L$26&lt;9,"Caution! Unusual or not allowed",""),"")</f>
      </c>
      <c r="N36" s="306"/>
      <c r="O36" s="21"/>
      <c r="P36" s="91">
        <v>10</v>
      </c>
      <c r="Q36" s="91">
        <f t="shared" si="0"/>
      </c>
      <c r="S36" s="31"/>
    </row>
    <row r="37" spans="2:19" ht="13.5" thickBot="1">
      <c r="B37" s="40"/>
      <c r="C37" s="25"/>
      <c r="D37" s="25"/>
      <c r="E37" s="25"/>
      <c r="F37" s="25"/>
      <c r="G37" s="25"/>
      <c r="H37" s="25"/>
      <c r="I37" s="25"/>
      <c r="J37" s="25"/>
      <c r="K37" s="25"/>
      <c r="L37" s="25"/>
      <c r="M37" s="25"/>
      <c r="N37" s="237" t="s">
        <v>220</v>
      </c>
      <c r="O37" s="27"/>
      <c r="P37" s="91">
        <v>9</v>
      </c>
      <c r="Q37" s="91">
        <f t="shared" si="0"/>
      </c>
      <c r="S37" s="31"/>
    </row>
    <row r="38" spans="16:19" ht="13.5" thickTop="1">
      <c r="P38" s="91">
        <v>8</v>
      </c>
      <c r="Q38" s="91">
        <f t="shared" si="0"/>
      </c>
      <c r="S38" s="31"/>
    </row>
    <row r="39" spans="2:19" ht="33.75" customHeight="1" hidden="1">
      <c r="B39" s="285" t="s">
        <v>492</v>
      </c>
      <c r="C39" s="285"/>
      <c r="D39" s="285"/>
      <c r="E39" s="285"/>
      <c r="F39" s="285"/>
      <c r="G39" s="285"/>
      <c r="H39" s="285"/>
      <c r="I39" s="191"/>
      <c r="P39" s="91">
        <v>7</v>
      </c>
      <c r="Q39" s="91"/>
      <c r="S39" s="31"/>
    </row>
    <row r="40" spans="2:19" ht="30" customHeight="1" hidden="1">
      <c r="B40" s="241" t="s">
        <v>490</v>
      </c>
      <c r="C40" s="241"/>
      <c r="D40" s="241"/>
      <c r="E40" s="241"/>
      <c r="F40" s="241"/>
      <c r="G40" s="241"/>
      <c r="H40" s="241"/>
      <c r="I40" s="192"/>
      <c r="P40" s="91" t="s">
        <v>527</v>
      </c>
      <c r="Q40" s="91">
        <f>SUM(Q4:Q39)</f>
        <v>0</v>
      </c>
      <c r="S40" s="31"/>
    </row>
    <row r="41" spans="1:19" ht="12.75" hidden="1">
      <c r="A41" t="s">
        <v>582</v>
      </c>
      <c r="B41" s="12" t="e">
        <f>IF(Knowhow!$J$27=Account!A41,IF(Account!$J$31="G+","Combination Sound",IF(Account!$J$31="G=","Combination Sound",IF(Account!$J$31="G-","Combination Sound",""))),"")</f>
        <v>#N/A</v>
      </c>
      <c r="C41" s="12"/>
      <c r="E41" t="e">
        <f>B41</f>
        <v>#N/A</v>
      </c>
      <c r="S41" s="31"/>
    </row>
    <row r="42" spans="1:19" ht="12.75" hidden="1">
      <c r="A42" t="s">
        <v>585</v>
      </c>
      <c r="B42" s="12" t="e">
        <f>IF(Knowhow!$J$27=Account!A42,IF(Account!$J$31="G=","Combination Sound",IF(Account!$J$31="G-","Combination Sound",IF(Account!$J$31="F+","Combination Sound",""))),"")</f>
        <v>#N/A</v>
      </c>
      <c r="E42" t="e">
        <f>IF(B42="",E41,B42)</f>
        <v>#N/A</v>
      </c>
      <c r="S42" s="31"/>
    </row>
    <row r="43" spans="1:5" ht="12.75" hidden="1">
      <c r="A43" t="s">
        <v>583</v>
      </c>
      <c r="B43" s="12" t="e">
        <f>IF(Knowhow!$J$27=Account!A43,IF(Account!$J$31="F+","Combination Sound",IF(Account!$J$31="F=","Combination Sound","")),"")</f>
        <v>#N/A</v>
      </c>
      <c r="E43" t="e">
        <f aca="true" t="shared" si="1" ref="E43:E51">IF(B43="",E42,B43)</f>
        <v>#N/A</v>
      </c>
    </row>
    <row r="44" spans="1:5" ht="12.75" hidden="1">
      <c r="A44" t="s">
        <v>584</v>
      </c>
      <c r="B44" s="12" t="e">
        <f>IF(Knowhow!$J$27=Account!A44,IF(Account!$J$31="F=","Combination Sound",IF(Account!$J$31="F-","Combination Sound","")),"")</f>
        <v>#N/A</v>
      </c>
      <c r="E44" t="e">
        <f t="shared" si="1"/>
        <v>#N/A</v>
      </c>
    </row>
    <row r="45" spans="1:5" ht="12.75" hidden="1">
      <c r="A45" t="s">
        <v>586</v>
      </c>
      <c r="B45" s="12" t="e">
        <f>IF(Knowhow!$J$27=Account!A45,IF(Account!$J$31="E+","Use with Caution",IF(Account!$J$31="E=","Combination Sound",IF(Account!$J$31="E-","Combination Sound",""))),"")</f>
        <v>#N/A</v>
      </c>
      <c r="E45" t="e">
        <f t="shared" si="1"/>
        <v>#N/A</v>
      </c>
    </row>
    <row r="46" spans="1:5" ht="12.75" hidden="1">
      <c r="A46" t="s">
        <v>587</v>
      </c>
      <c r="B46" s="12" t="e">
        <f>IF(Knowhow!$J$27=Account!A46,IF(Account!$J$31="E=","Combination Sound",IF(Account!$J$31="E-","Combination Sound",IF(Account!$J$31="D+","Use with Caution",""))),"")</f>
        <v>#N/A</v>
      </c>
      <c r="E46" t="e">
        <f t="shared" si="1"/>
        <v>#N/A</v>
      </c>
    </row>
    <row r="47" spans="1:5" ht="12.75" hidden="1">
      <c r="A47" t="s">
        <v>578</v>
      </c>
      <c r="B47" s="12" t="e">
        <f>IF(Knowhow!$J$27=Account!A47,IF(Account!$J$31="D=","Use with Caution",IF(Account!$J$31="D+","Combination Sound",IF(Account!$J$31="E-","Combination Sound",IF(Account!$J$31="E=","Combination Sound","")))),"")</f>
        <v>#N/A</v>
      </c>
      <c r="E47" t="e">
        <f t="shared" si="1"/>
        <v>#N/A</v>
      </c>
    </row>
    <row r="48" spans="1:5" ht="12.75" hidden="1">
      <c r="A48" t="s">
        <v>576</v>
      </c>
      <c r="B48" s="12" t="e">
        <f>IF(Knowhow!$J$27=Account!A48,IF(Account!$J$31="D+","Combination Sound",IF(Account!$J$31="D=","Combination Sound",IF(Account!$J$31="D-","Combination Sound",""))),"")</f>
        <v>#N/A</v>
      </c>
      <c r="E48" t="e">
        <f t="shared" si="1"/>
        <v>#N/A</v>
      </c>
    </row>
    <row r="49" spans="1:5" ht="12.75" hidden="1">
      <c r="A49" t="s">
        <v>577</v>
      </c>
      <c r="B49" s="12" t="e">
        <f>IF(Knowhow!$J$27=Account!A49,IF(Account!$J$31="D=","Combination Sound",IF(Account!$J$31="D-","Combination Sound",IF(Account!$J$31="C+","Combination Sound",IF(Account!$J$31="C=","Combination Sound","")))),"")</f>
        <v>#N/A</v>
      </c>
      <c r="E49" t="e">
        <f t="shared" si="1"/>
        <v>#N/A</v>
      </c>
    </row>
    <row r="50" spans="1:5" ht="12.75" hidden="1">
      <c r="A50" t="s">
        <v>574</v>
      </c>
      <c r="B50" s="12" t="e">
        <f>IF(Knowhow!$J$27=Account!A50,IF(Account!$J$31="C=","Combination Sound",IF(Account!$J$31="C-","Combination Sound",IF(Account!$J$31="B+","Combination Sound",""))),"")</f>
        <v>#N/A</v>
      </c>
      <c r="E50" t="e">
        <f t="shared" si="1"/>
        <v>#N/A</v>
      </c>
    </row>
    <row r="51" spans="1:5" ht="12.75" hidden="1">
      <c r="A51" t="s">
        <v>575</v>
      </c>
      <c r="B51" s="12" t="e">
        <f>IF(Knowhow!$J$27=Account!A51,IF(Account!$J$31="B+","Combination Sound",IF(Account!$J$31="B=","Combination Sound",IF(Account!$J$31="B-","Combination Sound",""))),"")</f>
        <v>#N/A</v>
      </c>
      <c r="E51" t="e">
        <f t="shared" si="1"/>
        <v>#N/A</v>
      </c>
    </row>
    <row r="52" ht="12.75" hidden="1"/>
    <row r="53" ht="12.75" hidden="1"/>
  </sheetData>
  <sheetProtection password="CA99" sheet="1" objects="1" scenarios="1" selectLockedCells="1"/>
  <mergeCells count="32">
    <mergeCell ref="B3:F3"/>
    <mergeCell ref="J14:J17"/>
    <mergeCell ref="J18:J21"/>
    <mergeCell ref="B11:B13"/>
    <mergeCell ref="B14:B16"/>
    <mergeCell ref="B17:B19"/>
    <mergeCell ref="C4:D4"/>
    <mergeCell ref="B5:B7"/>
    <mergeCell ref="B8:B10"/>
    <mergeCell ref="B20:B22"/>
    <mergeCell ref="K4:L4"/>
    <mergeCell ref="J3:N3"/>
    <mergeCell ref="J5:J9"/>
    <mergeCell ref="J10:J13"/>
    <mergeCell ref="M31:N31"/>
    <mergeCell ref="B23:B25"/>
    <mergeCell ref="J22:J25"/>
    <mergeCell ref="M32:N32"/>
    <mergeCell ref="J29:K29"/>
    <mergeCell ref="J30:K30"/>
    <mergeCell ref="J32:K32"/>
    <mergeCell ref="J26:J28"/>
    <mergeCell ref="J35:K36"/>
    <mergeCell ref="B2:M2"/>
    <mergeCell ref="B39:H39"/>
    <mergeCell ref="B40:H40"/>
    <mergeCell ref="M33:N33"/>
    <mergeCell ref="M34:N34"/>
    <mergeCell ref="M35:N35"/>
    <mergeCell ref="M36:N36"/>
    <mergeCell ref="M29:N29"/>
    <mergeCell ref="M30:N30"/>
  </mergeCells>
  <conditionalFormatting sqref="K5:N6">
    <cfRule type="expression" priority="1" dxfId="1" stopIfTrue="1">
      <formula>$D$26&gt;9</formula>
    </cfRule>
  </conditionalFormatting>
  <conditionalFormatting sqref="K7:N7">
    <cfRule type="expression" priority="2" dxfId="1" stopIfTrue="1">
      <formula>$D$26&gt;12</formula>
    </cfRule>
  </conditionalFormatting>
  <conditionalFormatting sqref="K8:N8">
    <cfRule type="expression" priority="3" dxfId="1" stopIfTrue="1">
      <formula>$D$26&lt;4</formula>
    </cfRule>
    <cfRule type="expression" priority="4" dxfId="1" stopIfTrue="1">
      <formula>$D$26&gt;12</formula>
    </cfRule>
  </conditionalFormatting>
  <conditionalFormatting sqref="K9:N9">
    <cfRule type="expression" priority="5" dxfId="1" stopIfTrue="1">
      <formula>$D$26&lt;7</formula>
    </cfRule>
    <cfRule type="expression" priority="6" dxfId="1" stopIfTrue="1">
      <formula>$D$26&gt;15</formula>
    </cfRule>
  </conditionalFormatting>
  <conditionalFormatting sqref="K14:N17">
    <cfRule type="expression" priority="7" dxfId="1" stopIfTrue="1">
      <formula>$D$26&lt;7</formula>
    </cfRule>
  </conditionalFormatting>
  <conditionalFormatting sqref="K10:N13">
    <cfRule type="expression" priority="8" dxfId="1" stopIfTrue="1">
      <formula>$D$26&lt;7</formula>
    </cfRule>
    <cfRule type="expression" priority="9" dxfId="1" stopIfTrue="1">
      <formula>$D$26&gt;18</formula>
    </cfRule>
  </conditionalFormatting>
  <conditionalFormatting sqref="K18:N23">
    <cfRule type="expression" priority="10" dxfId="1" stopIfTrue="1">
      <formula>$D$26&lt;10</formula>
    </cfRule>
  </conditionalFormatting>
  <conditionalFormatting sqref="K24:N25">
    <cfRule type="expression" priority="11" dxfId="1" stopIfTrue="1">
      <formula>$D$26&lt;13</formula>
    </cfRule>
  </conditionalFormatting>
  <conditionalFormatting sqref="L27:L28">
    <cfRule type="expression" priority="12" dxfId="5" stopIfTrue="1">
      <formula>$L$27+$L$28&gt;2</formula>
    </cfRule>
  </conditionalFormatting>
  <conditionalFormatting sqref="C5:E6 B5:B7">
    <cfRule type="expression" priority="13" dxfId="3" stopIfTrue="1">
      <formula>$B$4&gt;=1</formula>
    </cfRule>
  </conditionalFormatting>
  <conditionalFormatting sqref="F5:F6">
    <cfRule type="expression" priority="14" dxfId="6" stopIfTrue="1">
      <formula>$B$4&gt;=1</formula>
    </cfRule>
  </conditionalFormatting>
  <conditionalFormatting sqref="C7:E7">
    <cfRule type="expression" priority="15" dxfId="3" stopIfTrue="1">
      <formula>$B$4&gt;=2</formula>
    </cfRule>
  </conditionalFormatting>
  <conditionalFormatting sqref="F7">
    <cfRule type="expression" priority="16" dxfId="6" stopIfTrue="1">
      <formula>$B$4&gt;=2</formula>
    </cfRule>
  </conditionalFormatting>
  <conditionalFormatting sqref="C8:E9 B8:B10">
    <cfRule type="expression" priority="17" dxfId="3" stopIfTrue="1">
      <formula>$B$4&gt;=3</formula>
    </cfRule>
  </conditionalFormatting>
  <conditionalFormatting sqref="C10:E10">
    <cfRule type="expression" priority="18" dxfId="3" stopIfTrue="1">
      <formula>$B$4&gt;=4</formula>
    </cfRule>
  </conditionalFormatting>
  <conditionalFormatting sqref="F10">
    <cfRule type="expression" priority="19" dxfId="6" stopIfTrue="1">
      <formula>$B$4&gt;=4</formula>
    </cfRule>
  </conditionalFormatting>
  <conditionalFormatting sqref="F8:F9">
    <cfRule type="expression" priority="20" dxfId="6" stopIfTrue="1">
      <formula>$B$4&gt;=3</formula>
    </cfRule>
  </conditionalFormatting>
  <conditionalFormatting sqref="C11:E12 B11:B13">
    <cfRule type="expression" priority="21" dxfId="3" stopIfTrue="1">
      <formula>$B$4&gt;=5</formula>
    </cfRule>
  </conditionalFormatting>
  <conditionalFormatting sqref="F11:F12">
    <cfRule type="expression" priority="22" dxfId="6" stopIfTrue="1">
      <formula>$B$4&gt;=5</formula>
    </cfRule>
  </conditionalFormatting>
  <conditionalFormatting sqref="C13:E13">
    <cfRule type="expression" priority="23" dxfId="3" stopIfTrue="1">
      <formula>$B$4&gt;=6</formula>
    </cfRule>
  </conditionalFormatting>
  <conditionalFormatting sqref="F13">
    <cfRule type="expression" priority="24" dxfId="6" stopIfTrue="1">
      <formula>$B$4&gt;=6</formula>
    </cfRule>
  </conditionalFormatting>
  <conditionalFormatting sqref="C14:E15 B14:B16">
    <cfRule type="expression" priority="25" dxfId="3" stopIfTrue="1">
      <formula>$B$4&gt;=7</formula>
    </cfRule>
  </conditionalFormatting>
  <conditionalFormatting sqref="F14:F15">
    <cfRule type="expression" priority="26" dxfId="6" stopIfTrue="1">
      <formula>$B$4&gt;=7</formula>
    </cfRule>
  </conditionalFormatting>
  <conditionalFormatting sqref="C16:E16">
    <cfRule type="expression" priority="27" dxfId="3" stopIfTrue="1">
      <formula>$B$4&gt;=8</formula>
    </cfRule>
  </conditionalFormatting>
  <conditionalFormatting sqref="F16">
    <cfRule type="expression" priority="28" dxfId="6" stopIfTrue="1">
      <formula>$B$4&gt;=8</formula>
    </cfRule>
  </conditionalFormatting>
  <conditionalFormatting sqref="C17:E18 B17:B19">
    <cfRule type="expression" priority="29" dxfId="3" stopIfTrue="1">
      <formula>$B$4&gt;=9</formula>
    </cfRule>
  </conditionalFormatting>
  <conditionalFormatting sqref="F17:F18">
    <cfRule type="expression" priority="30" dxfId="6" stopIfTrue="1">
      <formula>$B$4&gt;=9</formula>
    </cfRule>
  </conditionalFormatting>
  <conditionalFormatting sqref="C19:E19">
    <cfRule type="expression" priority="31" dxfId="3" stopIfTrue="1">
      <formula>$B$4&gt;=10</formula>
    </cfRule>
  </conditionalFormatting>
  <conditionalFormatting sqref="F19">
    <cfRule type="expression" priority="32" dxfId="6" stopIfTrue="1">
      <formula>$B$4&gt;=10</formula>
    </cfRule>
  </conditionalFormatting>
  <conditionalFormatting sqref="C20:E21 B20:B22">
    <cfRule type="expression" priority="33" dxfId="3" stopIfTrue="1">
      <formula>$B$4&gt;=11</formula>
    </cfRule>
  </conditionalFormatting>
  <conditionalFormatting sqref="F20:F21">
    <cfRule type="expression" priority="34" dxfId="6" stopIfTrue="1">
      <formula>$B$4&gt;=11</formula>
    </cfRule>
  </conditionalFormatting>
  <conditionalFormatting sqref="C22:E22">
    <cfRule type="expression" priority="35" dxfId="3" stopIfTrue="1">
      <formula>$B$4&gt;=12</formula>
    </cfRule>
  </conditionalFormatting>
  <conditionalFormatting sqref="F22">
    <cfRule type="expression" priority="36" dxfId="6" stopIfTrue="1">
      <formula>$B$4&gt;=12</formula>
    </cfRule>
  </conditionalFormatting>
  <conditionalFormatting sqref="B23:B25 C23:E24">
    <cfRule type="expression" priority="37" dxfId="3" stopIfTrue="1">
      <formula>$B$4&gt;=13</formula>
    </cfRule>
  </conditionalFormatting>
  <conditionalFormatting sqref="F23:F24">
    <cfRule type="expression" priority="38" dxfId="6" stopIfTrue="1">
      <formula>$B$4&gt;=13</formula>
    </cfRule>
  </conditionalFormatting>
  <conditionalFormatting sqref="F25">
    <cfRule type="expression" priority="39" dxfId="6" stopIfTrue="1">
      <formula>$B$4&gt;=14</formula>
    </cfRule>
  </conditionalFormatting>
  <conditionalFormatting sqref="C25:E25">
    <cfRule type="expression" priority="40" dxfId="3" stopIfTrue="1">
      <formula>$B$4&gt;=14</formula>
    </cfRule>
  </conditionalFormatting>
  <hyperlinks>
    <hyperlink ref="N37" location="QA!K4" display="Next Step"/>
  </hyperlinks>
  <printOptions gridLines="1"/>
  <pageMargins left="0.75" right="0.75" top="1" bottom="1" header="0.5" footer="0.5"/>
  <pageSetup fitToHeight="2" fitToWidth="1" horizontalDpi="300" verticalDpi="300" orientation="portrait" paperSize="9" scale="69" r:id="rId3"/>
  <headerFooter alignWithMargins="0">
    <oddHeader>&amp;CACCOUNTABILITY DETERMINATION</oddHeader>
    <oddFooter>&amp;L&amp;D&amp;CPage 6a &amp; 6b</oddFooter>
  </headerFooter>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B2:M59"/>
  <sheetViews>
    <sheetView zoomScale="75" zoomScaleNormal="75" workbookViewId="0" topLeftCell="A1">
      <selection activeCell="K4" sqref="K4"/>
    </sheetView>
  </sheetViews>
  <sheetFormatPr defaultColWidth="9.140625" defaultRowHeight="12.75"/>
  <cols>
    <col min="1" max="1" width="1.28515625" style="0" customWidth="1"/>
    <col min="2" max="2" width="5.421875" style="0" customWidth="1"/>
    <col min="3" max="3" width="33.57421875" style="0" customWidth="1"/>
    <col min="4" max="4" width="4.140625" style="0" customWidth="1"/>
    <col min="5" max="5" width="4.28125" style="0" customWidth="1"/>
    <col min="6" max="6" width="5.00390625" style="0" customWidth="1"/>
    <col min="7" max="7" width="6.00390625" style="0" customWidth="1"/>
    <col min="8" max="8" width="8.28125" style="0" customWidth="1"/>
    <col min="9" max="9" width="10.28125" style="0" customWidth="1"/>
    <col min="10" max="10" width="13.7109375" style="0" customWidth="1"/>
    <col min="11" max="11" width="9.28125" style="0" bestFit="1" customWidth="1"/>
    <col min="12" max="12" width="11.140625" style="0" bestFit="1" customWidth="1"/>
    <col min="13" max="13" width="9.140625" style="91" hidden="1" customWidth="1"/>
  </cols>
  <sheetData>
    <row r="1" ht="6.75" customHeight="1" thickBot="1"/>
    <row r="2" spans="2:12" ht="13.5" thickTop="1">
      <c r="B2" s="331" t="s">
        <v>465</v>
      </c>
      <c r="C2" s="332"/>
      <c r="D2" s="332"/>
      <c r="E2" s="332"/>
      <c r="F2" s="332"/>
      <c r="G2" s="332"/>
      <c r="H2" s="332"/>
      <c r="I2" s="332"/>
      <c r="J2" s="332"/>
      <c r="K2" s="14"/>
      <c r="L2" s="88" t="s">
        <v>511</v>
      </c>
    </row>
    <row r="3" spans="2:13" ht="12.75">
      <c r="B3" s="333"/>
      <c r="C3" s="334"/>
      <c r="D3" s="334"/>
      <c r="E3" s="334"/>
      <c r="F3" s="334"/>
      <c r="G3" s="334"/>
      <c r="H3" s="334"/>
      <c r="I3" s="334"/>
      <c r="J3" s="334"/>
      <c r="K3" s="20" t="s">
        <v>512</v>
      </c>
      <c r="L3" s="89">
        <v>3200</v>
      </c>
      <c r="M3" s="91">
        <f>IF($D$5&gt;(L4+(L3-L4)/2),L3,"")</f>
      </c>
    </row>
    <row r="4" spans="2:13" ht="18.75" thickBot="1">
      <c r="B4" s="58"/>
      <c r="C4" s="37"/>
      <c r="D4" s="37"/>
      <c r="E4" s="37"/>
      <c r="F4" s="37"/>
      <c r="G4" s="37"/>
      <c r="H4" s="67" t="s">
        <v>499</v>
      </c>
      <c r="I4" s="67" t="s">
        <v>500</v>
      </c>
      <c r="J4" s="67" t="s">
        <v>501</v>
      </c>
      <c r="K4" s="85"/>
      <c r="L4" s="89">
        <v>2800</v>
      </c>
      <c r="M4" s="91">
        <f aca="true" t="shared" si="0" ref="M4:M23">IF($D$5&gt;(L5+(L4-L5)/2),IF($D$5&lt;(L4+(L3-L4)/2),L4,""),"")</f>
      </c>
    </row>
    <row r="5" spans="2:13" ht="19.5" thickBot="1" thickTop="1">
      <c r="B5" s="58">
        <v>1</v>
      </c>
      <c r="C5" s="20" t="s">
        <v>510</v>
      </c>
      <c r="D5" s="338">
        <f>Knowhow!J22+Problem!N17+Account!M28</f>
        <v>33.0932725374453</v>
      </c>
      <c r="E5" s="339"/>
      <c r="F5" s="340"/>
      <c r="G5" s="20"/>
      <c r="H5" s="55">
        <f>Knowhow!J22</f>
        <v>24.985616832415555</v>
      </c>
      <c r="I5" s="55">
        <f>Problem!N17</f>
        <v>2.020699183290615</v>
      </c>
      <c r="J5" s="55">
        <f>Account!M28</f>
        <v>6.086956521739132</v>
      </c>
      <c r="K5" s="85"/>
      <c r="L5" s="89">
        <v>2432</v>
      </c>
      <c r="M5" s="91">
        <f t="shared" si="0"/>
      </c>
    </row>
    <row r="6" spans="2:13" ht="27" thickBot="1" thickTop="1">
      <c r="B6" s="58">
        <v>2</v>
      </c>
      <c r="C6" s="37" t="s">
        <v>534</v>
      </c>
      <c r="D6" s="338">
        <f>J6+I6+H6</f>
        <v>0</v>
      </c>
      <c r="E6" s="339"/>
      <c r="F6" s="340"/>
      <c r="G6" s="101"/>
      <c r="H6" s="55">
        <f>Knowhow!K22</f>
        <v>0</v>
      </c>
      <c r="I6" s="55">
        <f>Problem!N15</f>
        <v>0</v>
      </c>
      <c r="J6" s="55">
        <f>Account!N28</f>
        <v>0</v>
      </c>
      <c r="K6" s="85"/>
      <c r="L6" s="89">
        <v>2112</v>
      </c>
      <c r="M6" s="91">
        <f t="shared" si="0"/>
      </c>
    </row>
    <row r="7" spans="2:13" ht="25.5" customHeight="1" thickBot="1" thickTop="1">
      <c r="B7" s="58">
        <v>3</v>
      </c>
      <c r="C7" s="20" t="s">
        <v>429</v>
      </c>
      <c r="D7" s="48" t="e">
        <f>Knowhow!J25</f>
        <v>#N/A</v>
      </c>
      <c r="E7" s="51" t="e">
        <f>Knowhow!J27</f>
        <v>#N/A</v>
      </c>
      <c r="F7" s="51" t="e">
        <f>Problem!J20</f>
        <v>#N/A</v>
      </c>
      <c r="G7" s="51" t="e">
        <f>Problem!J22</f>
        <v>#N/A</v>
      </c>
      <c r="H7" s="51" t="e">
        <f>Account!J31</f>
        <v>#N/A</v>
      </c>
      <c r="I7" s="49" t="e">
        <f>Account!J33</f>
        <v>#N/A</v>
      </c>
      <c r="J7" s="7" t="str">
        <f>IF(Knowhow!K27=3,"Communication= 3",IF(Knowhow!K27=2,"Communication= 2",IF(Knowhow!K27=1,"Communication= 1","")))</f>
        <v>Communication= 1</v>
      </c>
      <c r="K7" s="85"/>
      <c r="L7" s="89">
        <v>1840</v>
      </c>
      <c r="M7" s="91">
        <f t="shared" si="0"/>
      </c>
    </row>
    <row r="8" spans="2:13" ht="19.5" thickBot="1" thickTop="1">
      <c r="B8" s="58">
        <v>4</v>
      </c>
      <c r="C8" s="57" t="s">
        <v>430</v>
      </c>
      <c r="D8" s="63" t="e">
        <f>D7</f>
        <v>#N/A</v>
      </c>
      <c r="E8" s="64" t="s">
        <v>431</v>
      </c>
      <c r="F8" s="65" t="e">
        <f>F7</f>
        <v>#N/A</v>
      </c>
      <c r="G8" s="64" t="s">
        <v>431</v>
      </c>
      <c r="H8" s="66" t="e">
        <f>H7</f>
        <v>#N/A</v>
      </c>
      <c r="I8" s="341" t="s">
        <v>432</v>
      </c>
      <c r="J8" s="341"/>
      <c r="K8" s="148"/>
      <c r="L8" s="89">
        <v>1600</v>
      </c>
      <c r="M8" s="91">
        <f t="shared" si="0"/>
      </c>
    </row>
    <row r="9" spans="2:13" ht="24" customHeight="1" thickBot="1" thickTop="1">
      <c r="B9" s="58">
        <v>5</v>
      </c>
      <c r="C9" s="57" t="s">
        <v>433</v>
      </c>
      <c r="D9" s="92" t="str">
        <f>IF(Account!M28&gt;Problem!N17,"A",IF(Account!M28&lt;Problem!N17,"P","L"))</f>
        <v>A</v>
      </c>
      <c r="E9" s="50">
        <f>IF(Account!M28&gt;Problem!N17,(LN(Account!M28/Problem!N17)/LN(1.15)),IF(Account!M28&lt;Problem!N17,(LN(Problem!N17/Account!M28)/LN(1.15)),"Gelyk"))</f>
        <v>7.889877645335555</v>
      </c>
      <c r="F9" s="337" t="s">
        <v>496</v>
      </c>
      <c r="G9" s="337"/>
      <c r="H9" s="337"/>
      <c r="I9" s="337"/>
      <c r="J9" s="337"/>
      <c r="K9" s="342"/>
      <c r="L9" s="89">
        <v>1400</v>
      </c>
      <c r="M9" s="91">
        <f t="shared" si="0"/>
      </c>
    </row>
    <row r="10" spans="2:13" ht="14.25" thickBot="1" thickTop="1">
      <c r="B10" s="58">
        <v>6</v>
      </c>
      <c r="C10" s="57" t="s">
        <v>434</v>
      </c>
      <c r="D10" s="335" t="str">
        <f>Shortp!H12</f>
        <v>P4</v>
      </c>
      <c r="E10" s="336"/>
      <c r="F10" s="337"/>
      <c r="G10" s="337"/>
      <c r="H10" s="337"/>
      <c r="I10" s="337"/>
      <c r="J10" s="337"/>
      <c r="K10" s="342"/>
      <c r="L10" s="89">
        <v>1216</v>
      </c>
      <c r="M10" s="91">
        <f t="shared" si="0"/>
      </c>
    </row>
    <row r="11" spans="2:13" ht="18.75" thickTop="1">
      <c r="B11" s="58">
        <v>7</v>
      </c>
      <c r="C11" s="20" t="s">
        <v>470</v>
      </c>
      <c r="D11" s="343" t="s">
        <v>471</v>
      </c>
      <c r="E11" s="343"/>
      <c r="F11" s="313" t="s">
        <v>472</v>
      </c>
      <c r="G11" s="313"/>
      <c r="H11" s="313" t="s">
        <v>475</v>
      </c>
      <c r="I11" s="313"/>
      <c r="J11" s="20"/>
      <c r="K11" s="85"/>
      <c r="L11" s="89">
        <v>1056</v>
      </c>
      <c r="M11" s="91">
        <f t="shared" si="0"/>
      </c>
    </row>
    <row r="12" spans="2:13" ht="18">
      <c r="B12" s="58"/>
      <c r="C12" s="56" t="s">
        <v>473</v>
      </c>
      <c r="D12" s="319">
        <f>Problem!N17*1.15</f>
        <v>2.3238040607842074</v>
      </c>
      <c r="E12" s="319"/>
      <c r="F12" s="319">
        <f>Problem!N17/1.15</f>
        <v>1.757129724600535</v>
      </c>
      <c r="G12" s="319"/>
      <c r="H12" s="319">
        <f>Problem!N17</f>
        <v>2.020699183290615</v>
      </c>
      <c r="I12" s="319"/>
      <c r="J12" s="20"/>
      <c r="K12" s="85"/>
      <c r="L12" s="89">
        <v>920</v>
      </c>
      <c r="M12" s="91">
        <f t="shared" si="0"/>
      </c>
    </row>
    <row r="13" spans="2:13" ht="18">
      <c r="B13" s="58"/>
      <c r="C13" s="56" t="s">
        <v>474</v>
      </c>
      <c r="D13" s="319">
        <f>Account!M28*1.15^2</f>
        <v>8.05</v>
      </c>
      <c r="E13" s="319"/>
      <c r="F13" s="319">
        <f>Account!M28/1.15^2</f>
        <v>4.602613627023919</v>
      </c>
      <c r="G13" s="319"/>
      <c r="H13" s="319">
        <f>Account!M28</f>
        <v>6.086956521739132</v>
      </c>
      <c r="I13" s="319"/>
      <c r="J13" s="20"/>
      <c r="K13" s="85"/>
      <c r="L13" s="89">
        <v>800</v>
      </c>
      <c r="M13" s="91">
        <f t="shared" si="0"/>
      </c>
    </row>
    <row r="14" spans="2:13" ht="18">
      <c r="B14" s="58">
        <v>8</v>
      </c>
      <c r="C14" s="20" t="s">
        <v>93</v>
      </c>
      <c r="D14" s="20"/>
      <c r="E14" s="20"/>
      <c r="F14" s="20"/>
      <c r="G14" s="20"/>
      <c r="H14" s="20"/>
      <c r="I14" s="20"/>
      <c r="J14" s="20"/>
      <c r="K14" s="85"/>
      <c r="L14" s="89">
        <v>700</v>
      </c>
      <c r="M14" s="91">
        <f t="shared" si="0"/>
      </c>
    </row>
    <row r="15" spans="2:13" ht="25.5">
      <c r="B15" s="68">
        <v>8.1</v>
      </c>
      <c r="C15" s="37" t="s">
        <v>579</v>
      </c>
      <c r="D15" s="326" t="e">
        <f>Knowhow!F52</f>
        <v>#N/A</v>
      </c>
      <c r="E15" s="326"/>
      <c r="F15" s="326"/>
      <c r="G15" s="326"/>
      <c r="H15" s="326"/>
      <c r="I15" s="311" t="s">
        <v>589</v>
      </c>
      <c r="J15" s="37"/>
      <c r="K15" s="86"/>
      <c r="L15" s="89">
        <v>608</v>
      </c>
      <c r="M15" s="91">
        <f t="shared" si="0"/>
      </c>
    </row>
    <row r="16" spans="2:13" ht="25.5">
      <c r="B16" s="68">
        <v>8.2</v>
      </c>
      <c r="C16" s="37" t="s">
        <v>581</v>
      </c>
      <c r="D16" s="326" t="e">
        <f>Problem!E44</f>
        <v>#N/A</v>
      </c>
      <c r="E16" s="326"/>
      <c r="F16" s="326"/>
      <c r="G16" s="326"/>
      <c r="H16" s="326"/>
      <c r="I16" s="311"/>
      <c r="J16" s="37"/>
      <c r="K16" s="86"/>
      <c r="L16" s="89">
        <v>528</v>
      </c>
      <c r="M16" s="91">
        <f t="shared" si="0"/>
      </c>
    </row>
    <row r="17" spans="2:13" ht="25.5">
      <c r="B17" s="68">
        <v>8.3</v>
      </c>
      <c r="C17" s="37" t="s">
        <v>588</v>
      </c>
      <c r="D17" s="326" t="e">
        <f>Account!E51</f>
        <v>#N/A</v>
      </c>
      <c r="E17" s="326"/>
      <c r="F17" s="326"/>
      <c r="G17" s="326"/>
      <c r="H17" s="326"/>
      <c r="I17" s="311"/>
      <c r="J17" s="37"/>
      <c r="K17" s="86"/>
      <c r="L17" s="89">
        <v>460</v>
      </c>
      <c r="M17" s="91">
        <f t="shared" si="0"/>
      </c>
    </row>
    <row r="18" spans="2:13" s="114" customFormat="1" ht="85.5" customHeight="1">
      <c r="B18" s="115">
        <v>9</v>
      </c>
      <c r="C18" s="116" t="s">
        <v>476</v>
      </c>
      <c r="D18" s="320"/>
      <c r="E18" s="320"/>
      <c r="F18" s="320"/>
      <c r="G18" s="320"/>
      <c r="H18" s="320"/>
      <c r="I18" s="320"/>
      <c r="J18" s="320"/>
      <c r="K18" s="321"/>
      <c r="L18" s="117">
        <v>400</v>
      </c>
      <c r="M18" s="118">
        <f t="shared" si="0"/>
      </c>
    </row>
    <row r="19" spans="2:13" ht="18">
      <c r="B19" s="58">
        <v>10</v>
      </c>
      <c r="C19" s="20" t="s">
        <v>477</v>
      </c>
      <c r="D19" s="20"/>
      <c r="E19" s="20"/>
      <c r="F19" s="20"/>
      <c r="G19" s="20"/>
      <c r="H19" s="20"/>
      <c r="I19" s="20"/>
      <c r="J19" s="20"/>
      <c r="K19" s="85"/>
      <c r="L19" s="89">
        <v>350</v>
      </c>
      <c r="M19" s="91">
        <f t="shared" si="0"/>
      </c>
    </row>
    <row r="20" spans="2:13" ht="12.75">
      <c r="B20" s="35"/>
      <c r="C20" s="20"/>
      <c r="D20" s="20"/>
      <c r="E20" s="20"/>
      <c r="F20" s="20"/>
      <c r="G20" s="20"/>
      <c r="H20" s="20"/>
      <c r="I20" s="20"/>
      <c r="J20" s="20"/>
      <c r="K20" s="20"/>
      <c r="L20" s="89">
        <v>304</v>
      </c>
      <c r="M20" s="91">
        <f t="shared" si="0"/>
      </c>
    </row>
    <row r="21" spans="2:13" ht="13.5" thickBot="1">
      <c r="B21" s="40"/>
      <c r="C21" s="25"/>
      <c r="D21" s="25"/>
      <c r="E21" s="25"/>
      <c r="F21" s="25"/>
      <c r="G21" s="25"/>
      <c r="H21" s="25"/>
      <c r="I21" s="25"/>
      <c r="J21" s="25"/>
      <c r="K21" s="25"/>
      <c r="L21" s="89">
        <v>264</v>
      </c>
      <c r="M21" s="91">
        <f t="shared" si="0"/>
      </c>
    </row>
    <row r="22" spans="12:13" ht="13.5" customHeight="1" thickBot="1" thickTop="1">
      <c r="L22" s="89">
        <v>230</v>
      </c>
      <c r="M22" s="91">
        <f t="shared" si="0"/>
      </c>
    </row>
    <row r="23" spans="3:13" ht="16.5" thickTop="1">
      <c r="C23" s="72" t="s">
        <v>478</v>
      </c>
      <c r="D23" s="322" t="s">
        <v>479</v>
      </c>
      <c r="E23" s="322"/>
      <c r="F23" s="322" t="s">
        <v>498</v>
      </c>
      <c r="G23" s="323"/>
      <c r="I23" s="324" t="s">
        <v>504</v>
      </c>
      <c r="J23" s="325"/>
      <c r="K23" s="325"/>
      <c r="L23" s="89">
        <v>200</v>
      </c>
      <c r="M23" s="91">
        <f t="shared" si="0"/>
      </c>
    </row>
    <row r="24" spans="3:13" ht="12.75">
      <c r="C24" s="35"/>
      <c r="D24" s="313"/>
      <c r="E24" s="313"/>
      <c r="F24" s="313"/>
      <c r="G24" s="318"/>
      <c r="I24" s="35"/>
      <c r="J24" s="20"/>
      <c r="K24" s="20"/>
      <c r="L24" s="89">
        <v>175</v>
      </c>
      <c r="M24" s="91">
        <f>IF($D$5&gt;(L26+(L24-L26)/2),IF($D$5&lt;(L24+(L23-L24)/2),L24,""),"")</f>
      </c>
    </row>
    <row r="25" spans="3:13" ht="12.75">
      <c r="C25" s="35" t="s">
        <v>480</v>
      </c>
      <c r="D25" s="313">
        <v>15000</v>
      </c>
      <c r="E25" s="313"/>
      <c r="F25" s="313"/>
      <c r="G25" s="318"/>
      <c r="I25" s="316" t="s">
        <v>505</v>
      </c>
      <c r="J25" s="317"/>
      <c r="K25" s="317"/>
      <c r="L25" s="89">
        <v>152</v>
      </c>
      <c r="M25" s="91">
        <f>IF($D$5&gt;(L27+(L26-L27)/2),IF($D$5&lt;(L26+(L24-L26)/2),L26,""),"")</f>
      </c>
    </row>
    <row r="26" spans="3:13" ht="12.75">
      <c r="C26" s="35" t="s">
        <v>489</v>
      </c>
      <c r="D26" s="313" t="s">
        <v>523</v>
      </c>
      <c r="E26" s="313"/>
      <c r="F26" s="313"/>
      <c r="G26" s="318"/>
      <c r="I26" s="312" t="s">
        <v>508</v>
      </c>
      <c r="J26" s="313"/>
      <c r="K26" s="87">
        <v>100</v>
      </c>
      <c r="L26" s="89">
        <v>132</v>
      </c>
      <c r="M26" s="91">
        <f aca="true" t="shared" si="1" ref="M26:M48">IF($D$5&gt;(L28+(L27-L28)/2),IF($D$5&lt;(L27+(L26-L27)/2),L27,""),"")</f>
      </c>
    </row>
    <row r="27" spans="3:13" ht="12.75">
      <c r="C27" s="35" t="s">
        <v>488</v>
      </c>
      <c r="D27" s="313">
        <v>1500</v>
      </c>
      <c r="E27" s="313"/>
      <c r="F27" s="313"/>
      <c r="G27" s="318"/>
      <c r="I27" s="312" t="s">
        <v>535</v>
      </c>
      <c r="J27" s="313" t="s">
        <v>506</v>
      </c>
      <c r="K27" s="87">
        <v>50</v>
      </c>
      <c r="L27" s="89">
        <v>115</v>
      </c>
      <c r="M27" s="91">
        <f t="shared" si="1"/>
      </c>
    </row>
    <row r="28" spans="3:13" ht="15.75">
      <c r="C28" s="35"/>
      <c r="D28" s="313"/>
      <c r="E28" s="313"/>
      <c r="F28" s="313"/>
      <c r="G28" s="318"/>
      <c r="I28" s="314" t="s">
        <v>509</v>
      </c>
      <c r="J28" s="315" t="s">
        <v>507</v>
      </c>
      <c r="K28" s="144">
        <f>(LN(K26/K27)/LN(1.15))</f>
        <v>4.959484454640391</v>
      </c>
      <c r="L28" s="89">
        <v>100</v>
      </c>
      <c r="M28" s="91">
        <f t="shared" si="1"/>
      </c>
    </row>
    <row r="29" spans="3:13" ht="13.5" thickBot="1">
      <c r="C29" s="35" t="s">
        <v>483</v>
      </c>
      <c r="D29" s="313">
        <v>880</v>
      </c>
      <c r="E29" s="313"/>
      <c r="F29" s="313"/>
      <c r="G29" s="318"/>
      <c r="I29" s="40"/>
      <c r="J29" s="25"/>
      <c r="K29" s="25"/>
      <c r="L29" s="89">
        <v>87</v>
      </c>
      <c r="M29" s="91">
        <f t="shared" si="1"/>
      </c>
    </row>
    <row r="30" spans="3:13" ht="13.5" thickTop="1">
      <c r="C30" s="35"/>
      <c r="D30" s="313"/>
      <c r="E30" s="313"/>
      <c r="F30" s="313"/>
      <c r="G30" s="318"/>
      <c r="L30" s="89">
        <v>76</v>
      </c>
      <c r="M30" s="91">
        <f t="shared" si="1"/>
      </c>
    </row>
    <row r="31" spans="3:13" ht="13.5" thickBot="1">
      <c r="C31" s="35" t="s">
        <v>486</v>
      </c>
      <c r="D31" s="313">
        <v>588</v>
      </c>
      <c r="E31" s="313"/>
      <c r="F31" s="313"/>
      <c r="G31" s="318"/>
      <c r="I31" s="329" t="s">
        <v>522</v>
      </c>
      <c r="J31" s="329"/>
      <c r="K31" s="330"/>
      <c r="L31" s="89">
        <v>66</v>
      </c>
      <c r="M31" s="91">
        <f t="shared" si="1"/>
      </c>
    </row>
    <row r="32" spans="3:13" ht="39.75" thickBot="1" thickTop="1">
      <c r="C32" s="35"/>
      <c r="D32" s="313"/>
      <c r="E32" s="313"/>
      <c r="F32" s="313"/>
      <c r="G32" s="318"/>
      <c r="H32" s="327" t="s">
        <v>146</v>
      </c>
      <c r="I32" s="328"/>
      <c r="J32" s="95" t="s">
        <v>516</v>
      </c>
      <c r="K32" s="96" t="s">
        <v>536</v>
      </c>
      <c r="L32" s="89">
        <v>57</v>
      </c>
      <c r="M32" s="91">
        <f t="shared" si="1"/>
      </c>
    </row>
    <row r="33" spans="3:13" ht="14.25" thickBot="1" thickTop="1">
      <c r="C33" s="35" t="s">
        <v>485</v>
      </c>
      <c r="D33" s="313">
        <v>417</v>
      </c>
      <c r="E33" s="313"/>
      <c r="F33" s="313"/>
      <c r="G33" s="318"/>
      <c r="H33" s="327"/>
      <c r="I33" s="328"/>
      <c r="K33" s="91"/>
      <c r="L33" s="89">
        <v>50</v>
      </c>
      <c r="M33" s="91">
        <f t="shared" si="1"/>
      </c>
    </row>
    <row r="34" spans="3:13" ht="27" thickBot="1" thickTop="1">
      <c r="C34" s="35"/>
      <c r="D34" s="313"/>
      <c r="E34" s="313"/>
      <c r="F34" s="313"/>
      <c r="G34" s="318"/>
      <c r="H34" s="102" t="s">
        <v>541</v>
      </c>
      <c r="I34" s="102" t="s">
        <v>542</v>
      </c>
      <c r="J34" s="95" t="s">
        <v>517</v>
      </c>
      <c r="K34" s="96" t="s">
        <v>537</v>
      </c>
      <c r="L34" s="89">
        <v>43</v>
      </c>
      <c r="M34" s="91">
        <f t="shared" si="1"/>
      </c>
    </row>
    <row r="35" spans="3:13" ht="14.25" thickBot="1" thickTop="1">
      <c r="C35" s="35"/>
      <c r="D35" s="313"/>
      <c r="E35" s="313"/>
      <c r="F35" s="313"/>
      <c r="G35" s="318"/>
      <c r="H35" s="91"/>
      <c r="I35" s="91"/>
      <c r="K35" s="91"/>
      <c r="L35" s="89">
        <v>38</v>
      </c>
      <c r="M35" s="91">
        <f t="shared" si="1"/>
        <v>33</v>
      </c>
    </row>
    <row r="36" spans="3:13" ht="27" thickBot="1" thickTop="1">
      <c r="C36" s="35" t="s">
        <v>481</v>
      </c>
      <c r="D36" s="313">
        <v>380</v>
      </c>
      <c r="E36" s="313"/>
      <c r="F36" s="313"/>
      <c r="G36" s="318"/>
      <c r="H36" s="102" t="s">
        <v>543</v>
      </c>
      <c r="I36" s="102" t="s">
        <v>544</v>
      </c>
      <c r="J36" s="95" t="s">
        <v>518</v>
      </c>
      <c r="K36" s="96" t="s">
        <v>538</v>
      </c>
      <c r="L36" s="89">
        <v>33</v>
      </c>
      <c r="M36" s="91">
        <f t="shared" si="1"/>
      </c>
    </row>
    <row r="37" spans="3:13" ht="14.25" thickBot="1" thickTop="1">
      <c r="C37" s="35"/>
      <c r="D37" s="313"/>
      <c r="E37" s="313"/>
      <c r="F37" s="313"/>
      <c r="G37" s="318"/>
      <c r="H37" s="91"/>
      <c r="I37" s="91"/>
      <c r="K37" s="91"/>
      <c r="L37" s="89">
        <v>29</v>
      </c>
      <c r="M37" s="91">
        <f t="shared" si="1"/>
      </c>
    </row>
    <row r="38" spans="3:13" ht="27" thickBot="1" thickTop="1">
      <c r="C38" s="35" t="s">
        <v>487</v>
      </c>
      <c r="D38" s="313">
        <v>300</v>
      </c>
      <c r="E38" s="313"/>
      <c r="F38" s="313"/>
      <c r="G38" s="318"/>
      <c r="H38" s="102" t="s">
        <v>545</v>
      </c>
      <c r="I38" s="102" t="s">
        <v>546</v>
      </c>
      <c r="J38" s="95" t="s">
        <v>519</v>
      </c>
      <c r="K38" s="96" t="s">
        <v>590</v>
      </c>
      <c r="L38" s="89">
        <v>25</v>
      </c>
      <c r="M38" s="91">
        <f t="shared" si="1"/>
      </c>
    </row>
    <row r="39" spans="3:13" ht="14.25" thickBot="1" thickTop="1">
      <c r="C39" s="35" t="s">
        <v>484</v>
      </c>
      <c r="D39" s="313">
        <v>275</v>
      </c>
      <c r="E39" s="313"/>
      <c r="F39" s="313"/>
      <c r="G39" s="318"/>
      <c r="H39" s="91"/>
      <c r="I39" s="91"/>
      <c r="K39" s="91"/>
      <c r="L39" s="89">
        <v>22</v>
      </c>
      <c r="M39" s="91">
        <f t="shared" si="1"/>
      </c>
    </row>
    <row r="40" spans="3:13" ht="27" thickBot="1" thickTop="1">
      <c r="C40" s="35"/>
      <c r="D40" s="313"/>
      <c r="E40" s="313"/>
      <c r="F40" s="313"/>
      <c r="G40" s="318"/>
      <c r="H40" s="91"/>
      <c r="I40" s="91"/>
      <c r="J40" s="95" t="s">
        <v>520</v>
      </c>
      <c r="K40" s="96" t="s">
        <v>539</v>
      </c>
      <c r="L40" s="89">
        <v>19</v>
      </c>
      <c r="M40" s="91">
        <f t="shared" si="1"/>
      </c>
    </row>
    <row r="41" spans="3:13" ht="14.25" thickBot="1" thickTop="1">
      <c r="C41" s="35"/>
      <c r="D41" s="313"/>
      <c r="E41" s="313"/>
      <c r="F41" s="313"/>
      <c r="G41" s="318"/>
      <c r="H41" s="91"/>
      <c r="I41" s="91"/>
      <c r="K41" s="91"/>
      <c r="L41" s="89">
        <v>16</v>
      </c>
      <c r="M41" s="91">
        <f t="shared" si="1"/>
      </c>
    </row>
    <row r="42" spans="3:13" ht="27" thickBot="1" thickTop="1">
      <c r="C42" s="35"/>
      <c r="D42" s="313"/>
      <c r="E42" s="313"/>
      <c r="F42" s="313"/>
      <c r="G42" s="318"/>
      <c r="H42" s="102" t="s">
        <v>547</v>
      </c>
      <c r="I42" s="102" t="s">
        <v>548</v>
      </c>
      <c r="J42" s="95" t="s">
        <v>521</v>
      </c>
      <c r="K42" s="96" t="s">
        <v>540</v>
      </c>
      <c r="L42" s="89">
        <v>14</v>
      </c>
      <c r="M42" s="91">
        <f t="shared" si="1"/>
      </c>
    </row>
    <row r="43" spans="3:13" ht="13.5" thickTop="1">
      <c r="C43" s="35" t="s">
        <v>482</v>
      </c>
      <c r="D43" s="313">
        <v>99</v>
      </c>
      <c r="E43" s="313"/>
      <c r="F43" s="313"/>
      <c r="G43" s="318"/>
      <c r="H43" s="91"/>
      <c r="I43" s="91"/>
      <c r="L43" s="89">
        <v>12</v>
      </c>
      <c r="M43" s="91">
        <f t="shared" si="1"/>
      </c>
    </row>
    <row r="44" spans="3:13" ht="12.75">
      <c r="C44" s="35"/>
      <c r="D44" s="313"/>
      <c r="E44" s="313"/>
      <c r="F44" s="313"/>
      <c r="G44" s="318"/>
      <c r="H44" s="91"/>
      <c r="I44" s="91"/>
      <c r="L44" s="89">
        <v>10</v>
      </c>
      <c r="M44" s="91">
        <f t="shared" si="1"/>
      </c>
    </row>
    <row r="45" spans="3:13" ht="12.75">
      <c r="C45" s="35"/>
      <c r="D45" s="313"/>
      <c r="E45" s="313"/>
      <c r="F45" s="313"/>
      <c r="G45" s="318"/>
      <c r="H45" s="91"/>
      <c r="I45" s="91"/>
      <c r="L45" s="89">
        <v>9</v>
      </c>
      <c r="M45" s="91">
        <f t="shared" si="1"/>
      </c>
    </row>
    <row r="46" spans="3:13" ht="12.75">
      <c r="C46" s="35"/>
      <c r="D46" s="313"/>
      <c r="E46" s="313"/>
      <c r="F46" s="313"/>
      <c r="G46" s="318"/>
      <c r="H46" s="102" t="s">
        <v>549</v>
      </c>
      <c r="I46" s="102" t="s">
        <v>550</v>
      </c>
      <c r="L46" s="89">
        <v>8</v>
      </c>
      <c r="M46" s="91">
        <f t="shared" si="1"/>
      </c>
    </row>
    <row r="47" spans="3:13" ht="12.75">
      <c r="C47" s="35"/>
      <c r="D47" s="20"/>
      <c r="E47" s="20"/>
      <c r="F47" s="20"/>
      <c r="G47" s="21"/>
      <c r="H47" s="91"/>
      <c r="I47" s="91"/>
      <c r="L47" s="89">
        <v>7</v>
      </c>
      <c r="M47" s="91">
        <f t="shared" si="1"/>
      </c>
    </row>
    <row r="48" spans="3:13" ht="12.75">
      <c r="C48" s="35"/>
      <c r="D48" s="20"/>
      <c r="E48" s="20"/>
      <c r="F48" s="20"/>
      <c r="G48" s="21"/>
      <c r="H48" s="91"/>
      <c r="I48" s="91"/>
      <c r="L48" s="89">
        <v>6</v>
      </c>
      <c r="M48" s="91">
        <f t="shared" si="1"/>
      </c>
    </row>
    <row r="49" spans="3:12" ht="12.75">
      <c r="C49" s="35"/>
      <c r="D49" s="20"/>
      <c r="E49" s="20"/>
      <c r="F49" s="20"/>
      <c r="G49" s="21"/>
      <c r="H49" s="102" t="s">
        <v>551</v>
      </c>
      <c r="I49" s="102" t="s">
        <v>552</v>
      </c>
      <c r="L49" s="89">
        <v>5</v>
      </c>
    </row>
    <row r="50" spans="3:13" ht="12.75">
      <c r="C50" s="35"/>
      <c r="D50" s="20"/>
      <c r="E50" s="20"/>
      <c r="F50" s="20"/>
      <c r="G50" s="21"/>
      <c r="L50" s="89">
        <v>4</v>
      </c>
      <c r="M50" s="91">
        <f>SUM(M3:M49)</f>
        <v>33</v>
      </c>
    </row>
    <row r="51" spans="3:12" ht="13.5" thickBot="1">
      <c r="C51" s="40"/>
      <c r="D51" s="25"/>
      <c r="E51" s="25"/>
      <c r="F51" s="25"/>
      <c r="G51" s="27"/>
      <c r="L51" s="90"/>
    </row>
    <row r="52" ht="13.5" thickTop="1"/>
    <row r="54" spans="4:6" ht="12.75">
      <c r="D54">
        <f>Knowhow!E29</f>
        <v>0</v>
      </c>
      <c r="E54" s="91">
        <v>1</v>
      </c>
      <c r="F54" t="s">
        <v>592</v>
      </c>
    </row>
    <row r="55" spans="4:6" ht="12.75">
      <c r="D55">
        <f>Knowhow!L20</f>
        <v>0</v>
      </c>
      <c r="E55" s="91">
        <v>2</v>
      </c>
      <c r="F55" t="s">
        <v>34</v>
      </c>
    </row>
    <row r="56" spans="4:6" ht="12.75">
      <c r="D56">
        <f>Problem!D20</f>
        <v>0</v>
      </c>
      <c r="E56" s="91">
        <v>3</v>
      </c>
      <c r="F56" t="s">
        <v>35</v>
      </c>
    </row>
    <row r="57" spans="4:6" ht="12.75">
      <c r="D57">
        <f>Problem!L14</f>
        <v>0</v>
      </c>
      <c r="E57" s="91">
        <v>4</v>
      </c>
      <c r="F57" t="s">
        <v>36</v>
      </c>
    </row>
    <row r="58" spans="4:6" ht="12.75">
      <c r="D58">
        <f>Account!D26</f>
        <v>0</v>
      </c>
      <c r="E58" s="91">
        <v>5</v>
      </c>
      <c r="F58" t="s">
        <v>37</v>
      </c>
    </row>
    <row r="59" spans="4:6" ht="12.75">
      <c r="D59">
        <f>Account!L26</f>
        <v>0</v>
      </c>
      <c r="E59" s="91">
        <v>6</v>
      </c>
      <c r="F59" t="s">
        <v>38</v>
      </c>
    </row>
  </sheetData>
  <sheetProtection password="CA99" sheet="1" objects="1" scenarios="1" selectLockedCells="1"/>
  <mergeCells count="76">
    <mergeCell ref="H32:I33"/>
    <mergeCell ref="I31:K31"/>
    <mergeCell ref="B2:J3"/>
    <mergeCell ref="D10:E10"/>
    <mergeCell ref="F9:J10"/>
    <mergeCell ref="D5:F5"/>
    <mergeCell ref="I8:J8"/>
    <mergeCell ref="D6:F6"/>
    <mergeCell ref="K9:K10"/>
    <mergeCell ref="D11:E11"/>
    <mergeCell ref="F11:G11"/>
    <mergeCell ref="D12:E12"/>
    <mergeCell ref="F12:G12"/>
    <mergeCell ref="H11:I11"/>
    <mergeCell ref="H12:I12"/>
    <mergeCell ref="H13:I13"/>
    <mergeCell ref="D18:K18"/>
    <mergeCell ref="D23:E23"/>
    <mergeCell ref="F23:G23"/>
    <mergeCell ref="D13:E13"/>
    <mergeCell ref="F13:G13"/>
    <mergeCell ref="I23:K23"/>
    <mergeCell ref="D16:H16"/>
    <mergeCell ref="D17:H17"/>
    <mergeCell ref="D15:H15"/>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6:E46"/>
    <mergeCell ref="F46:G46"/>
    <mergeCell ref="D44:E44"/>
    <mergeCell ref="F44:G44"/>
    <mergeCell ref="D45:E45"/>
    <mergeCell ref="F45:G45"/>
    <mergeCell ref="I15:I17"/>
    <mergeCell ref="I26:J26"/>
    <mergeCell ref="I27:J27"/>
    <mergeCell ref="I28:J28"/>
    <mergeCell ref="I25:K25"/>
  </mergeCells>
  <conditionalFormatting sqref="K8">
    <cfRule type="cellIs" priority="1" dxfId="7" operator="equal" stopIfTrue="1">
      <formula>""</formula>
    </cfRule>
  </conditionalFormatting>
  <printOptions gridLines="1"/>
  <pageMargins left="0.75" right="0.75" top="1" bottom="1" header="0.5" footer="0.5"/>
  <pageSetup fitToHeight="1" fitToWidth="1" horizontalDpi="300" verticalDpi="300" orientation="portrait" paperSize="9" scale="62" r:id="rId4"/>
  <headerFooter alignWithMargins="0">
    <oddHeader>&amp;CQUALITY CHECKS</oddHeader>
    <oddFooter>&amp;L&amp;D&amp;CPage 7</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7">
    <pageSetUpPr fitToPage="1"/>
  </sheetPr>
  <dimension ref="B1:O25"/>
  <sheetViews>
    <sheetView zoomScale="75" zoomScaleNormal="75" workbookViewId="0" topLeftCell="A1">
      <selection activeCell="D23" sqref="D23:O23"/>
    </sheetView>
  </sheetViews>
  <sheetFormatPr defaultColWidth="9.140625" defaultRowHeight="12.75"/>
  <cols>
    <col min="1" max="2" width="1.1484375" style="0" customWidth="1"/>
    <col min="3" max="3" width="2.28125" style="0" customWidth="1"/>
    <col min="4" max="4" width="27.57421875" style="0" customWidth="1"/>
    <col min="5" max="5" width="5.8515625" style="0" customWidth="1"/>
    <col min="6" max="6" width="5.57421875" style="0" customWidth="1"/>
    <col min="7" max="7" width="5.8515625" style="0" customWidth="1"/>
    <col min="8" max="8" width="5.57421875" style="0" customWidth="1"/>
    <col min="9" max="9" width="5.421875" style="0" customWidth="1"/>
    <col min="10" max="10" width="6.421875" style="0" customWidth="1"/>
    <col min="11" max="12" width="6.140625" style="0" customWidth="1"/>
    <col min="13" max="13" width="5.28125" style="0" customWidth="1"/>
    <col min="14" max="14" width="6.8515625" style="0" customWidth="1"/>
    <col min="15" max="15" width="12.28125" style="0" bestFit="1" customWidth="1"/>
  </cols>
  <sheetData>
    <row r="1" spans="2:15" ht="21" thickTop="1">
      <c r="B1" s="46"/>
      <c r="C1" s="14"/>
      <c r="D1" s="344" t="s">
        <v>105</v>
      </c>
      <c r="E1" s="344"/>
      <c r="F1" s="344"/>
      <c r="G1" s="344"/>
      <c r="H1" s="344"/>
      <c r="I1" s="344"/>
      <c r="J1" s="344"/>
      <c r="K1" s="344"/>
      <c r="L1" s="344"/>
      <c r="M1" s="344"/>
      <c r="N1" s="344"/>
      <c r="O1" s="345"/>
    </row>
    <row r="2" spans="2:15" ht="12.75">
      <c r="B2" s="35"/>
      <c r="C2" s="20"/>
      <c r="D2" s="20"/>
      <c r="E2" s="20"/>
      <c r="F2" s="20"/>
      <c r="G2" s="20"/>
      <c r="H2" s="20"/>
      <c r="I2" s="20"/>
      <c r="J2" s="20"/>
      <c r="K2" s="20"/>
      <c r="L2" s="20"/>
      <c r="M2" s="20"/>
      <c r="N2" s="20"/>
      <c r="O2" s="73">
        <f>Intro!D7</f>
        <v>38326</v>
      </c>
    </row>
    <row r="3" spans="2:15" ht="40.5" customHeight="1">
      <c r="B3" s="35"/>
      <c r="C3" s="20"/>
      <c r="D3" s="122" t="s">
        <v>466</v>
      </c>
      <c r="E3" s="122">
        <f>Intro!D4</f>
        <v>0</v>
      </c>
      <c r="F3" s="122"/>
      <c r="G3" s="122"/>
      <c r="H3" s="122"/>
      <c r="I3" s="122"/>
      <c r="J3" s="122"/>
      <c r="K3" s="122"/>
      <c r="L3" s="122"/>
      <c r="M3" s="20"/>
      <c r="N3" s="20"/>
      <c r="O3" s="21"/>
    </row>
    <row r="4" spans="2:15" ht="12.75">
      <c r="B4" s="35"/>
      <c r="C4" s="20"/>
      <c r="D4" s="20" t="s">
        <v>436</v>
      </c>
      <c r="E4" s="313">
        <f>Intro!D5</f>
        <v>0</v>
      </c>
      <c r="F4" s="313"/>
      <c r="G4" s="313"/>
      <c r="H4" s="313"/>
      <c r="I4" s="313"/>
      <c r="J4" s="54"/>
      <c r="K4" s="54"/>
      <c r="L4" s="54"/>
      <c r="M4" s="20"/>
      <c r="N4" s="20"/>
      <c r="O4" s="21"/>
    </row>
    <row r="5" spans="2:15" ht="15.75">
      <c r="B5" s="35"/>
      <c r="C5" s="20"/>
      <c r="D5" s="20" t="s">
        <v>437</v>
      </c>
      <c r="E5" s="363">
        <f>Intro!D6</f>
        <v>0</v>
      </c>
      <c r="F5" s="363"/>
      <c r="G5" s="363"/>
      <c r="H5" s="363"/>
      <c r="I5" s="363"/>
      <c r="J5" s="121"/>
      <c r="K5" s="121"/>
      <c r="L5" s="121"/>
      <c r="M5" s="20"/>
      <c r="N5" s="20"/>
      <c r="O5" s="21"/>
    </row>
    <row r="6" spans="2:15" ht="12.75">
      <c r="B6" s="35"/>
      <c r="C6" s="20"/>
      <c r="D6" s="20" t="s">
        <v>438</v>
      </c>
      <c r="E6" s="313">
        <f>Intro!D8</f>
        <v>0</v>
      </c>
      <c r="F6" s="313"/>
      <c r="G6" s="313"/>
      <c r="H6" s="313"/>
      <c r="I6" s="313"/>
      <c r="J6" s="54"/>
      <c r="K6" s="54"/>
      <c r="L6" s="54"/>
      <c r="M6" s="20"/>
      <c r="N6" s="20"/>
      <c r="O6" s="21"/>
    </row>
    <row r="7" spans="2:15" ht="12.75">
      <c r="B7" s="35"/>
      <c r="C7" s="20"/>
      <c r="D7" s="20" t="s">
        <v>439</v>
      </c>
      <c r="E7" s="313">
        <f>Intro!D9</f>
        <v>0</v>
      </c>
      <c r="F7" s="313"/>
      <c r="G7" s="313"/>
      <c r="H7" s="313"/>
      <c r="I7" s="313"/>
      <c r="J7" s="54"/>
      <c r="K7" s="54"/>
      <c r="L7" s="54"/>
      <c r="M7" s="20"/>
      <c r="N7" s="20"/>
      <c r="O7" s="21"/>
    </row>
    <row r="8" spans="2:15" ht="12.75">
      <c r="B8" s="35"/>
      <c r="C8" s="20"/>
      <c r="D8" s="20" t="s">
        <v>440</v>
      </c>
      <c r="E8" s="313">
        <f>Intro!D10</f>
        <v>0</v>
      </c>
      <c r="F8" s="313"/>
      <c r="G8" s="313"/>
      <c r="H8" s="313"/>
      <c r="I8" s="313"/>
      <c r="J8" s="54"/>
      <c r="K8" s="54"/>
      <c r="L8" s="54"/>
      <c r="M8" s="20"/>
      <c r="N8" s="20"/>
      <c r="O8" s="21"/>
    </row>
    <row r="9" spans="2:15" s="114" customFormat="1" ht="93.75" customHeight="1">
      <c r="B9" s="110"/>
      <c r="C9" s="112"/>
      <c r="D9" s="119" t="str">
        <f>Intro!C11</f>
        <v>Purpose of the Job:</v>
      </c>
      <c r="E9" s="361">
        <f>Intro!D11</f>
        <v>0</v>
      </c>
      <c r="F9" s="361"/>
      <c r="G9" s="361"/>
      <c r="H9" s="361"/>
      <c r="I9" s="361"/>
      <c r="J9" s="361"/>
      <c r="K9" s="361"/>
      <c r="L9" s="361"/>
      <c r="M9" s="361"/>
      <c r="N9" s="361"/>
      <c r="O9" s="362"/>
    </row>
    <row r="10" spans="2:15" ht="38.25">
      <c r="B10" s="35"/>
      <c r="C10" s="20"/>
      <c r="D10" s="37" t="s">
        <v>553</v>
      </c>
      <c r="E10" s="356" t="str">
        <f>IF(E11&gt;1200,"EX Broad Band",IF(E11&gt;900,"SU Broad Band",IF(E11&gt;500,"MP Broad Band",IF(E11&gt;300,"STS Broad Band",IF(E11&gt;160,"AS Broad Band","OS Broad Band")))))</f>
        <v>OS Broad Band</v>
      </c>
      <c r="F10" s="356"/>
      <c r="G10" s="356"/>
      <c r="H10" s="356"/>
      <c r="I10" s="356"/>
      <c r="J10" s="104"/>
      <c r="K10" s="104"/>
      <c r="L10" s="104"/>
      <c r="M10" s="20"/>
      <c r="N10" s="20"/>
      <c r="O10" s="21"/>
    </row>
    <row r="11" spans="2:15" ht="21" thickBot="1">
      <c r="B11" s="35"/>
      <c r="C11" s="20"/>
      <c r="D11" s="20" t="s">
        <v>513</v>
      </c>
      <c r="E11" s="364">
        <f>QA!D6</f>
        <v>0</v>
      </c>
      <c r="F11" s="364"/>
      <c r="G11" s="364"/>
      <c r="H11" s="364"/>
      <c r="I11" s="364"/>
      <c r="J11" s="162">
        <f>QA!D5</f>
        <v>33.0932725374453</v>
      </c>
      <c r="K11" s="163" t="s">
        <v>73</v>
      </c>
      <c r="L11" s="55"/>
      <c r="M11" s="20"/>
      <c r="N11" s="20"/>
      <c r="O11" s="21"/>
    </row>
    <row r="12" spans="2:15" ht="18.75" thickTop="1">
      <c r="B12" s="35"/>
      <c r="C12" s="20"/>
      <c r="D12" s="171"/>
      <c r="E12" s="348" t="s">
        <v>75</v>
      </c>
      <c r="F12" s="349"/>
      <c r="G12" s="349"/>
      <c r="H12" s="349"/>
      <c r="I12" s="349"/>
      <c r="J12" s="349"/>
      <c r="K12" s="349"/>
      <c r="L12" s="349"/>
      <c r="M12" s="349"/>
      <c r="N12" s="350"/>
      <c r="O12" s="21"/>
    </row>
    <row r="13" spans="2:15" ht="12.75">
      <c r="B13" s="35"/>
      <c r="C13" s="20"/>
      <c r="D13" s="56"/>
      <c r="E13" s="355" t="s">
        <v>467</v>
      </c>
      <c r="F13" s="346"/>
      <c r="G13" s="346"/>
      <c r="H13" s="346"/>
      <c r="I13" s="346"/>
      <c r="J13" s="164" t="e">
        <f>Knowhow!J25</f>
        <v>#N/A</v>
      </c>
      <c r="K13" s="164" t="e">
        <f>Knowhow!J27</f>
        <v>#N/A</v>
      </c>
      <c r="L13" s="346">
        <f>QA!H6</f>
        <v>0</v>
      </c>
      <c r="M13" s="346"/>
      <c r="N13" s="167">
        <f>Knowhow!K27</f>
        <v>1</v>
      </c>
      <c r="O13" s="103"/>
    </row>
    <row r="14" spans="2:15" ht="12.75">
      <c r="B14" s="35"/>
      <c r="C14" s="20"/>
      <c r="D14" s="56"/>
      <c r="E14" s="355" t="s">
        <v>468</v>
      </c>
      <c r="F14" s="346"/>
      <c r="G14" s="346"/>
      <c r="H14" s="346"/>
      <c r="I14" s="346"/>
      <c r="J14" s="164" t="e">
        <f>Problem!J20</f>
        <v>#N/A</v>
      </c>
      <c r="K14" s="164" t="e">
        <f>Problem!J22</f>
        <v>#N/A</v>
      </c>
      <c r="L14" s="346">
        <f>QA!I6</f>
        <v>0</v>
      </c>
      <c r="M14" s="346"/>
      <c r="N14" s="175">
        <f>Problem!M15</f>
        <v>0</v>
      </c>
      <c r="O14" s="103"/>
    </row>
    <row r="15" spans="2:15" ht="12.75">
      <c r="B15" s="35"/>
      <c r="C15" s="20"/>
      <c r="D15" s="56"/>
      <c r="E15" s="355" t="s">
        <v>469</v>
      </c>
      <c r="F15" s="346"/>
      <c r="G15" s="346"/>
      <c r="H15" s="346"/>
      <c r="I15" s="346"/>
      <c r="J15" s="164" t="e">
        <f>Account!J31</f>
        <v>#N/A</v>
      </c>
      <c r="K15" s="164" t="e">
        <f>Account!J33</f>
        <v>#N/A</v>
      </c>
      <c r="L15" s="346">
        <f>QA!J6</f>
        <v>0</v>
      </c>
      <c r="M15" s="346"/>
      <c r="N15" s="165"/>
      <c r="O15" s="103"/>
    </row>
    <row r="16" spans="2:15" ht="12.75">
      <c r="B16" s="35"/>
      <c r="C16" s="20"/>
      <c r="D16" s="56"/>
      <c r="E16" s="360" t="s">
        <v>76</v>
      </c>
      <c r="F16" s="347"/>
      <c r="G16" s="347"/>
      <c r="H16" s="347"/>
      <c r="I16" s="347"/>
      <c r="J16" s="166" t="str">
        <f>QA!D10</f>
        <v>P4</v>
      </c>
      <c r="K16" s="166" t="s">
        <v>74</v>
      </c>
      <c r="L16" s="346">
        <f>SUM(L13:M15)</f>
        <v>0</v>
      </c>
      <c r="M16" s="347"/>
      <c r="N16" s="167"/>
      <c r="O16" s="21"/>
    </row>
    <row r="17" spans="2:15" ht="13.5" thickBot="1">
      <c r="B17" s="35"/>
      <c r="C17" s="20"/>
      <c r="D17" s="161"/>
      <c r="E17" s="351" t="s">
        <v>77</v>
      </c>
      <c r="F17" s="352"/>
      <c r="G17" s="352"/>
      <c r="H17" s="352"/>
      <c r="I17" s="352"/>
      <c r="J17" s="168" t="str">
        <f>CONCATENATE(M17,ROUND(N17,0))</f>
        <v>A8</v>
      </c>
      <c r="K17" s="353" t="str">
        <f>IF(J16&lt;&gt;J17,"Mismatch ?","")</f>
        <v>Mismatch ?</v>
      </c>
      <c r="L17" s="354"/>
      <c r="M17" s="169" t="str">
        <f>QA!D9</f>
        <v>A</v>
      </c>
      <c r="N17" s="170">
        <f>QA!E9</f>
        <v>7.889877645335555</v>
      </c>
      <c r="O17" s="21"/>
    </row>
    <row r="18" spans="2:15" ht="19.5" customHeight="1" thickTop="1">
      <c r="B18" s="35"/>
      <c r="C18" s="20"/>
      <c r="D18" s="54"/>
      <c r="E18" s="54"/>
      <c r="F18" s="58" t="s">
        <v>299</v>
      </c>
      <c r="G18" s="54" t="s">
        <v>300</v>
      </c>
      <c r="H18" s="54" t="s">
        <v>301</v>
      </c>
      <c r="I18" s="54" t="s">
        <v>302</v>
      </c>
      <c r="J18" s="54" t="s">
        <v>303</v>
      </c>
      <c r="K18" s="54" t="s">
        <v>304</v>
      </c>
      <c r="L18" s="54" t="s">
        <v>305</v>
      </c>
      <c r="M18" s="54" t="s">
        <v>306</v>
      </c>
      <c r="N18" s="160" t="s">
        <v>307</v>
      </c>
      <c r="O18" s="21"/>
    </row>
    <row r="19" spans="2:15" ht="19.5" customHeight="1" thickBot="1">
      <c r="B19" s="35"/>
      <c r="C19" s="20"/>
      <c r="D19" s="54"/>
      <c r="E19" s="54"/>
      <c r="F19" s="357" t="s">
        <v>493</v>
      </c>
      <c r="G19" s="358"/>
      <c r="H19" s="358" t="s">
        <v>494</v>
      </c>
      <c r="I19" s="358"/>
      <c r="J19" s="358"/>
      <c r="K19" s="358" t="s">
        <v>495</v>
      </c>
      <c r="L19" s="358"/>
      <c r="M19" s="358"/>
      <c r="N19" s="359"/>
      <c r="O19" s="21"/>
    </row>
    <row r="20" spans="2:15" ht="16.5" thickTop="1">
      <c r="B20" s="35"/>
      <c r="C20" s="20"/>
      <c r="D20" s="287" t="s">
        <v>78</v>
      </c>
      <c r="E20" s="287"/>
      <c r="F20" s="287"/>
      <c r="G20" s="287"/>
      <c r="H20" s="287"/>
      <c r="I20" s="287"/>
      <c r="J20" s="287"/>
      <c r="K20" s="287"/>
      <c r="L20" s="287"/>
      <c r="M20" s="287"/>
      <c r="N20" s="287"/>
      <c r="O20" s="21"/>
    </row>
    <row r="21" spans="2:15" s="114" customFormat="1" ht="45" customHeight="1">
      <c r="B21" s="110"/>
      <c r="C21" s="120">
        <v>1</v>
      </c>
      <c r="D21" s="361">
        <f>Intro!D11</f>
        <v>0</v>
      </c>
      <c r="E21" s="361"/>
      <c r="F21" s="361"/>
      <c r="G21" s="361"/>
      <c r="H21" s="361"/>
      <c r="I21" s="361"/>
      <c r="J21" s="361"/>
      <c r="K21" s="361"/>
      <c r="L21" s="361"/>
      <c r="M21" s="361"/>
      <c r="N21" s="361"/>
      <c r="O21" s="362"/>
    </row>
    <row r="22" spans="2:15" s="114" customFormat="1" ht="46.5" customHeight="1">
      <c r="B22" s="110"/>
      <c r="C22" s="120">
        <v>2</v>
      </c>
      <c r="D22" s="361">
        <f>QA!D18</f>
        <v>0</v>
      </c>
      <c r="E22" s="361"/>
      <c r="F22" s="361"/>
      <c r="G22" s="361"/>
      <c r="H22" s="361"/>
      <c r="I22" s="361"/>
      <c r="J22" s="361"/>
      <c r="K22" s="361"/>
      <c r="L22" s="361"/>
      <c r="M22" s="361"/>
      <c r="N22" s="361"/>
      <c r="O22" s="362"/>
    </row>
    <row r="23" spans="2:15" s="114" customFormat="1" ht="51" customHeight="1">
      <c r="B23" s="110"/>
      <c r="C23" s="120">
        <v>3</v>
      </c>
      <c r="D23" s="320"/>
      <c r="E23" s="320"/>
      <c r="F23" s="320"/>
      <c r="G23" s="320"/>
      <c r="H23" s="320"/>
      <c r="I23" s="320"/>
      <c r="J23" s="320"/>
      <c r="K23" s="320"/>
      <c r="L23" s="320"/>
      <c r="M23" s="320"/>
      <c r="N23" s="320"/>
      <c r="O23" s="321"/>
    </row>
    <row r="24" spans="2:15" ht="12.75">
      <c r="B24" s="35"/>
      <c r="C24" s="20"/>
      <c r="D24" s="200" t="s">
        <v>253</v>
      </c>
      <c r="E24" s="201" t="e">
        <f>Knowhow!J25</f>
        <v>#N/A</v>
      </c>
      <c r="F24" s="201" t="e">
        <f>Knowhow!J27</f>
        <v>#N/A</v>
      </c>
      <c r="G24" s="201">
        <f>Knowhow!K27</f>
        <v>1</v>
      </c>
      <c r="H24" s="201" t="e">
        <f>Problem!J20</f>
        <v>#N/A</v>
      </c>
      <c r="I24" s="201" t="e">
        <f>Problem!J22</f>
        <v>#N/A</v>
      </c>
      <c r="J24" s="202">
        <f>Problem!M15</f>
        <v>0</v>
      </c>
      <c r="K24" s="201" t="e">
        <f>Account!J31</f>
        <v>#N/A</v>
      </c>
      <c r="L24" s="201" t="e">
        <f>Account!J33</f>
        <v>#N/A</v>
      </c>
      <c r="M24" s="203">
        <f>L16</f>
        <v>0</v>
      </c>
      <c r="N24" s="201" t="str">
        <f>J17</f>
        <v>A8</v>
      </c>
      <c r="O24" s="21"/>
    </row>
    <row r="25" spans="2:15" ht="13.5" thickBot="1">
      <c r="B25" s="40"/>
      <c r="C25" s="25"/>
      <c r="D25" s="199" t="s">
        <v>99</v>
      </c>
      <c r="E25" s="204">
        <f>Knowhow!H29-1</f>
        <v>-1</v>
      </c>
      <c r="F25" s="204">
        <f>Knowhow!I29-1</f>
        <v>-1</v>
      </c>
      <c r="G25" s="204">
        <f>Knowhow!K27</f>
        <v>1</v>
      </c>
      <c r="H25" s="204">
        <f>Problem!H20-1</f>
        <v>-1</v>
      </c>
      <c r="I25" s="204">
        <f>Problem!I20-1</f>
        <v>-1</v>
      </c>
      <c r="J25" s="204"/>
      <c r="K25" s="204">
        <f>Account!H26-1</f>
        <v>-1</v>
      </c>
      <c r="L25" s="204">
        <f>Account!I26-1</f>
        <v>-1</v>
      </c>
      <c r="M25" s="25"/>
      <c r="N25" s="25"/>
      <c r="O25" s="27"/>
    </row>
    <row r="26" ht="13.5" thickTop="1"/>
  </sheetData>
  <sheetProtection password="CA99" sheet="1" objects="1" scenarios="1" selectLockedCells="1"/>
  <mergeCells count="27">
    <mergeCell ref="D22:O22"/>
    <mergeCell ref="D21:O21"/>
    <mergeCell ref="E5:I5"/>
    <mergeCell ref="E8:I8"/>
    <mergeCell ref="E11:I11"/>
    <mergeCell ref="E9:O9"/>
    <mergeCell ref="L15:M15"/>
    <mergeCell ref="D23:O23"/>
    <mergeCell ref="E10:I10"/>
    <mergeCell ref="F19:G19"/>
    <mergeCell ref="H19:J19"/>
    <mergeCell ref="K19:N19"/>
    <mergeCell ref="L13:M13"/>
    <mergeCell ref="L14:M14"/>
    <mergeCell ref="E14:I14"/>
    <mergeCell ref="E15:I15"/>
    <mergeCell ref="E16:I16"/>
    <mergeCell ref="D1:O1"/>
    <mergeCell ref="D20:N20"/>
    <mergeCell ref="E4:I4"/>
    <mergeCell ref="E6:I6"/>
    <mergeCell ref="L16:M16"/>
    <mergeCell ref="E12:N12"/>
    <mergeCell ref="E17:I17"/>
    <mergeCell ref="K17:L17"/>
    <mergeCell ref="E7:I7"/>
    <mergeCell ref="E13:I13"/>
  </mergeCells>
  <conditionalFormatting sqref="N18">
    <cfRule type="expression" priority="1" dxfId="8" stopIfTrue="1">
      <formula>$J$17="P4"</formula>
    </cfRule>
  </conditionalFormatting>
  <conditionalFormatting sqref="F18">
    <cfRule type="expression" priority="2" dxfId="8" stopIfTrue="1">
      <formula>$J$17="A4"</formula>
    </cfRule>
  </conditionalFormatting>
  <conditionalFormatting sqref="G18">
    <cfRule type="expression" priority="3" dxfId="8" stopIfTrue="1">
      <formula>$J$17="A3"</formula>
    </cfRule>
  </conditionalFormatting>
  <conditionalFormatting sqref="H18">
    <cfRule type="expression" priority="4" dxfId="8" stopIfTrue="1">
      <formula>$J$17="A2"</formula>
    </cfRule>
  </conditionalFormatting>
  <conditionalFormatting sqref="I18">
    <cfRule type="expression" priority="5" dxfId="8" stopIfTrue="1">
      <formula>$J$17="A1"</formula>
    </cfRule>
  </conditionalFormatting>
  <conditionalFormatting sqref="K18">
    <cfRule type="expression" priority="6" dxfId="8" stopIfTrue="1">
      <formula>$J$17="P1"</formula>
    </cfRule>
  </conditionalFormatting>
  <conditionalFormatting sqref="L18">
    <cfRule type="expression" priority="7" dxfId="8" stopIfTrue="1">
      <formula>$J$17="P2"</formula>
    </cfRule>
  </conditionalFormatting>
  <conditionalFormatting sqref="M18">
    <cfRule type="expression" priority="8" dxfId="8" stopIfTrue="1">
      <formula>$J$17="P3"</formula>
    </cfRule>
  </conditionalFormatting>
  <conditionalFormatting sqref="J18">
    <cfRule type="expression" priority="9" dxfId="8" stopIfTrue="1">
      <formula>$J$17="A0"</formula>
    </cfRule>
    <cfRule type="expression" priority="10" dxfId="8" stopIfTrue="1">
      <formula>$J$17="P0"</formula>
    </cfRule>
  </conditionalFormatting>
  <printOptions gridLines="1"/>
  <pageMargins left="0.75" right="0.75" top="1" bottom="1" header="0.5" footer="0.5"/>
  <pageSetup fitToHeight="1" fitToWidth="1" horizontalDpi="300" verticalDpi="300" orientation="portrait" paperSize="9" scale="84" r:id="rId3"/>
  <headerFooter alignWithMargins="0">
    <oddHeader>&amp;CSUMMARY REPORT</oddHeader>
    <oddFooter>&amp;L&amp;D&amp;CPage 8</oddFooter>
  </headerFooter>
  <legacy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A1:F36"/>
  <sheetViews>
    <sheetView zoomScale="75" zoomScaleNormal="75" workbookViewId="0" topLeftCell="A1">
      <selection activeCell="B28" sqref="B28:C28"/>
    </sheetView>
  </sheetViews>
  <sheetFormatPr defaultColWidth="9.140625" defaultRowHeight="12.75"/>
  <cols>
    <col min="1" max="1" width="4.00390625" style="0" customWidth="1"/>
    <col min="2" max="2" width="41.00390625" style="0" customWidth="1"/>
    <col min="3" max="3" width="60.421875" style="0" customWidth="1"/>
    <col min="4" max="6" width="2.28125" style="0" customWidth="1"/>
  </cols>
  <sheetData>
    <row r="1" spans="1:6" ht="16.5" thickTop="1">
      <c r="A1" s="46"/>
      <c r="B1" s="188"/>
      <c r="C1" s="14"/>
      <c r="D1" s="14"/>
      <c r="E1" s="14"/>
      <c r="F1" s="15"/>
    </row>
    <row r="2" spans="1:6" ht="12.75">
      <c r="A2" s="35"/>
      <c r="B2" s="37"/>
      <c r="C2" s="20"/>
      <c r="D2" s="20"/>
      <c r="E2" s="20"/>
      <c r="F2" s="21"/>
    </row>
    <row r="3" spans="1:6" ht="23.25">
      <c r="A3" s="35"/>
      <c r="B3" s="365" t="s">
        <v>236</v>
      </c>
      <c r="C3" s="365"/>
      <c r="D3" s="365"/>
      <c r="E3" s="365"/>
      <c r="F3" s="21"/>
    </row>
    <row r="4" spans="1:6" ht="12.75">
      <c r="A4" s="35"/>
      <c r="B4" s="37"/>
      <c r="C4" s="20"/>
      <c r="D4" s="20"/>
      <c r="E4" s="20"/>
      <c r="F4" s="21"/>
    </row>
    <row r="5" spans="1:6" ht="20.25">
      <c r="A5" s="189">
        <v>1</v>
      </c>
      <c r="B5" s="366" t="str">
        <f>Descr!B1</f>
        <v>Depth of Knowledge</v>
      </c>
      <c r="C5" s="366"/>
      <c r="D5" s="20"/>
      <c r="E5" s="20"/>
      <c r="F5" s="21"/>
    </row>
    <row r="6" spans="1:6" ht="75.75" customHeight="1">
      <c r="A6" s="35"/>
      <c r="B6" s="37" t="e">
        <f>VLOOKUP(Report1!E25,Descr!A2:C25,2)</f>
        <v>#N/A</v>
      </c>
      <c r="C6" s="37" t="e">
        <f>VLOOKUP(Report1!E25,Descr!A2:C25,3)</f>
        <v>#N/A</v>
      </c>
      <c r="D6" s="20"/>
      <c r="E6" s="20"/>
      <c r="F6" s="21"/>
    </row>
    <row r="7" spans="1:6" ht="12.75">
      <c r="A7" s="35"/>
      <c r="B7" s="37"/>
      <c r="C7" s="20"/>
      <c r="D7" s="20"/>
      <c r="E7" s="20"/>
      <c r="F7" s="21"/>
    </row>
    <row r="8" spans="1:6" ht="20.25">
      <c r="A8" s="189">
        <v>2</v>
      </c>
      <c r="B8" s="366" t="str">
        <f>Descr!E1</f>
        <v>Breadth of management</v>
      </c>
      <c r="C8" s="366"/>
      <c r="D8" s="20"/>
      <c r="E8" s="20"/>
      <c r="F8" s="21"/>
    </row>
    <row r="9" spans="1:6" ht="78.75" customHeight="1">
      <c r="A9" s="35"/>
      <c r="B9" s="37" t="e">
        <f>VLOOKUP(Report1!F25,Descr!D2:F16,2)</f>
        <v>#N/A</v>
      </c>
      <c r="C9" s="37" t="e">
        <f>VLOOKUP(Report1!F25,Descr!D2:F16,3)</f>
        <v>#N/A</v>
      </c>
      <c r="D9" s="20"/>
      <c r="E9" s="20"/>
      <c r="F9" s="21"/>
    </row>
    <row r="10" spans="1:6" ht="12.75">
      <c r="A10" s="35"/>
      <c r="B10" s="37"/>
      <c r="C10" s="20"/>
      <c r="D10" s="20"/>
      <c r="E10" s="20"/>
      <c r="F10" s="21"/>
    </row>
    <row r="11" spans="1:6" ht="20.25">
      <c r="A11" s="189">
        <v>3</v>
      </c>
      <c r="B11" s="366" t="str">
        <f>Descr!E17</f>
        <v>Communication skills</v>
      </c>
      <c r="C11" s="366"/>
      <c r="D11" s="20"/>
      <c r="E11" s="20"/>
      <c r="F11" s="21"/>
    </row>
    <row r="12" spans="1:6" ht="12.75">
      <c r="A12" s="35"/>
      <c r="B12" s="37"/>
      <c r="C12" s="20" t="str">
        <f>VLOOKUP(Report1!G25,Descr!D18:E20,2)</f>
        <v>Normal communicatiopn skills are required.</v>
      </c>
      <c r="D12" s="20"/>
      <c r="E12" s="20"/>
      <c r="F12" s="21"/>
    </row>
    <row r="13" spans="1:6" ht="12.75">
      <c r="A13" s="35"/>
      <c r="B13" s="37"/>
      <c r="C13" s="20"/>
      <c r="D13" s="20"/>
      <c r="E13" s="20"/>
      <c r="F13" s="21"/>
    </row>
    <row r="14" spans="1:6" ht="12.75">
      <c r="A14" s="35"/>
      <c r="B14" s="37"/>
      <c r="C14" s="20"/>
      <c r="D14" s="20"/>
      <c r="E14" s="20"/>
      <c r="F14" s="21"/>
    </row>
    <row r="15" spans="1:6" ht="20.25">
      <c r="A15" s="189">
        <v>4</v>
      </c>
      <c r="B15" s="366" t="str">
        <f>Descr!H1</f>
        <v>Freedom to think</v>
      </c>
      <c r="C15" s="366"/>
      <c r="D15" s="20"/>
      <c r="E15" s="20"/>
      <c r="F15" s="21"/>
    </row>
    <row r="16" spans="1:6" ht="66.75" customHeight="1">
      <c r="A16" s="35"/>
      <c r="B16" s="37" t="e">
        <f>VLOOKUP(Report1!H25,Descr!G2:I17,2)</f>
        <v>#N/A</v>
      </c>
      <c r="C16" s="37" t="e">
        <f>VLOOKUP(Report1!H25,Descr!G2:I17,3)</f>
        <v>#N/A</v>
      </c>
      <c r="D16" s="20"/>
      <c r="E16" s="20"/>
      <c r="F16" s="21"/>
    </row>
    <row r="17" spans="1:6" ht="12.75">
      <c r="A17" s="35"/>
      <c r="B17" s="37"/>
      <c r="C17" s="20"/>
      <c r="D17" s="20"/>
      <c r="E17" s="20"/>
      <c r="F17" s="21"/>
    </row>
    <row r="18" spans="1:6" ht="20.25">
      <c r="A18" s="189">
        <v>5</v>
      </c>
      <c r="B18" s="366" t="str">
        <f>Descr!K1</f>
        <v>Thinking challenge</v>
      </c>
      <c r="C18" s="366"/>
      <c r="D18" s="20"/>
      <c r="E18" s="20"/>
      <c r="F18" s="21"/>
    </row>
    <row r="19" spans="1:6" ht="78.75" customHeight="1">
      <c r="A19" s="35"/>
      <c r="B19" s="37" t="e">
        <f>VLOOKUP(Report1!I25,Descr!J2:L11,2)</f>
        <v>#N/A</v>
      </c>
      <c r="C19" s="37" t="e">
        <f>VLOOKUP(Report1!I25,Descr!J2:L11,3)</f>
        <v>#N/A</v>
      </c>
      <c r="D19" s="20"/>
      <c r="E19" s="20"/>
      <c r="F19" s="21"/>
    </row>
    <row r="20" spans="1:6" ht="12.75">
      <c r="A20" s="35"/>
      <c r="B20" s="37"/>
      <c r="C20" s="20"/>
      <c r="D20" s="20"/>
      <c r="E20" s="20"/>
      <c r="F20" s="21"/>
    </row>
    <row r="21" spans="1:6" ht="20.25">
      <c r="A21" s="189">
        <v>6</v>
      </c>
      <c r="B21" s="366" t="str">
        <f>Descr!N1</f>
        <v>Freedom to act</v>
      </c>
      <c r="C21" s="366"/>
      <c r="D21" s="20"/>
      <c r="E21" s="20"/>
      <c r="F21" s="21"/>
    </row>
    <row r="22" spans="1:6" ht="78.75" customHeight="1">
      <c r="A22" s="35"/>
      <c r="B22" s="37" t="e">
        <f>VLOOKUP(Report1!K25,Descr!M2:O22,2)</f>
        <v>#N/A</v>
      </c>
      <c r="C22" s="37" t="e">
        <f>VLOOKUP(Report1!K25,Descr!M2:O22,3)</f>
        <v>#N/A</v>
      </c>
      <c r="D22" s="20"/>
      <c r="E22" s="20"/>
      <c r="F22" s="21"/>
    </row>
    <row r="23" spans="1:6" ht="12.75">
      <c r="A23" s="35"/>
      <c r="B23" s="37"/>
      <c r="C23" s="20"/>
      <c r="D23" s="20"/>
      <c r="E23" s="20"/>
      <c r="F23" s="21"/>
    </row>
    <row r="24" spans="1:6" ht="20.25">
      <c r="A24" s="189">
        <v>7</v>
      </c>
      <c r="B24" s="366" t="str">
        <f>Descr!Q1</f>
        <v>Area &amp; Type of Impact</v>
      </c>
      <c r="C24" s="366"/>
      <c r="D24" s="20"/>
      <c r="E24" s="20"/>
      <c r="F24" s="21"/>
    </row>
    <row r="25" spans="1:6" ht="78" customHeight="1">
      <c r="A25" s="35"/>
      <c r="B25" s="37" t="e">
        <f>VLOOKUP(Report1!L25,Descr!P2:S30,2)</f>
        <v>#N/A</v>
      </c>
      <c r="C25" s="37" t="e">
        <f>VLOOKUP(Report1!L25,Descr!P2:S30,3)</f>
        <v>#N/A</v>
      </c>
      <c r="D25" s="37"/>
      <c r="E25" s="37"/>
      <c r="F25" s="21"/>
    </row>
    <row r="26" spans="1:6" ht="118.5" customHeight="1">
      <c r="A26" s="35"/>
      <c r="B26" s="37"/>
      <c r="C26" s="37" t="e">
        <f>VLOOKUP(Report1!L25,Descr!P3:S30,4)</f>
        <v>#N/A</v>
      </c>
      <c r="D26" s="20"/>
      <c r="E26" s="20"/>
      <c r="F26" s="21"/>
    </row>
    <row r="27" spans="1:6" ht="12.75">
      <c r="A27" s="35"/>
      <c r="B27" s="37" t="s">
        <v>254</v>
      </c>
      <c r="C27" s="20"/>
      <c r="D27" s="20"/>
      <c r="E27" s="20"/>
      <c r="F27" s="21"/>
    </row>
    <row r="28" spans="1:6" ht="69" customHeight="1">
      <c r="A28" s="35"/>
      <c r="B28" s="367"/>
      <c r="C28" s="367"/>
      <c r="D28" s="20"/>
      <c r="E28" s="20"/>
      <c r="F28" s="21"/>
    </row>
    <row r="29" spans="1:6" ht="13.5" thickBot="1">
      <c r="A29" s="40"/>
      <c r="B29" s="190"/>
      <c r="C29" s="25"/>
      <c r="D29" s="25"/>
      <c r="E29" s="25"/>
      <c r="F29" s="27"/>
    </row>
    <row r="30" ht="13.5" thickTop="1">
      <c r="B30" s="185"/>
    </row>
    <row r="31" ht="12.75">
      <c r="B31" s="185"/>
    </row>
    <row r="32" ht="12.75">
      <c r="B32" s="185"/>
    </row>
    <row r="33" ht="12.75">
      <c r="B33" s="185"/>
    </row>
    <row r="34" ht="12.75">
      <c r="B34" s="185"/>
    </row>
    <row r="35" ht="12.75">
      <c r="B35" s="185"/>
    </row>
    <row r="36" ht="12.75">
      <c r="B36" s="185"/>
    </row>
  </sheetData>
  <sheetProtection password="CA99" sheet="1" objects="1" scenarios="1" selectLockedCells="1"/>
  <mergeCells count="9">
    <mergeCell ref="B28:C28"/>
    <mergeCell ref="B15:C15"/>
    <mergeCell ref="B18:C18"/>
    <mergeCell ref="B21:C21"/>
    <mergeCell ref="B24:C24"/>
    <mergeCell ref="B3:E3"/>
    <mergeCell ref="B5:C5"/>
    <mergeCell ref="B8:C8"/>
    <mergeCell ref="B11:C11"/>
  </mergeCells>
  <printOptions gridLines="1"/>
  <pageMargins left="0.75" right="0.75" top="1" bottom="1" header="0.5" footer="0.5"/>
  <pageSetup fitToHeight="0" fitToWidth="1" horizontalDpi="600" verticalDpi="600" orientation="portrait" paperSize="9" scale="78" r:id="rId1"/>
  <headerFooter alignWithMargins="0">
    <oddHeader>&amp;CJOB PARAMETER DESCRIPTIONS</oddHeader>
    <oddFooter>&amp;L&amp;D&amp;CPage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Armscor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Supervisor</dc:creator>
  <cp:keywords/>
  <dc:description/>
  <cp:lastModifiedBy>Karel Nel</cp:lastModifiedBy>
  <cp:lastPrinted>2003-10-21T11:20:25Z</cp:lastPrinted>
  <dcterms:created xsi:type="dcterms:W3CDTF">2000-10-12T14:34:08Z</dcterms:created>
  <dcterms:modified xsi:type="dcterms:W3CDTF">2004-12-05T13:59:29Z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